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áverečný účet 2024\"/>
    </mc:Choice>
  </mc:AlternateContent>
  <xr:revisionPtr revIDLastSave="0" documentId="13_ncr:1_{AEF0AC04-6309-41E8-B901-1FA699302955}" xr6:coauthVersionLast="47" xr6:coauthVersionMax="47" xr10:uidLastSave="{00000000-0000-0000-0000-000000000000}"/>
  <bookViews>
    <workbookView xWindow="-120" yWindow="-120" windowWidth="29040" windowHeight="15720" tabRatio="952" xr2:uid="{00000000-000D-0000-FFFF-FFFF00000000}"/>
  </bookViews>
  <sheets>
    <sheet name="Príjmy 2024" sheetId="13" r:id="rId1"/>
    <sheet name="Výdavky 2024" sheetId="14" r:id="rId2"/>
    <sheet name="Sumarizácia 2024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2024'!$B$2:$G$398</definedName>
    <definedName name="_xlnm.Print_Area" localSheetId="2">'Sumarizácia 2024'!$B$2:$O$35</definedName>
    <definedName name="_xlnm.Print_Area" localSheetId="1">'Výdavky 2024'!$B$2:$Q$1919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5" l="1"/>
  <c r="B31" i="15"/>
  <c r="B32" i="15" s="1"/>
  <c r="B33" i="15" s="1"/>
  <c r="B34" i="15" s="1"/>
  <c r="B35" i="15" s="1"/>
  <c r="L31" i="15"/>
  <c r="L35" i="15" s="1"/>
  <c r="L16" i="15"/>
  <c r="L15" i="15"/>
  <c r="L14" i="15"/>
  <c r="L13" i="15"/>
  <c r="L12" i="15"/>
  <c r="L11" i="15"/>
  <c r="L10" i="15"/>
  <c r="L9" i="15"/>
  <c r="L8" i="15"/>
  <c r="L7" i="15"/>
  <c r="L6" i="15"/>
  <c r="L5" i="15"/>
  <c r="L3" i="15"/>
  <c r="L4" i="15"/>
  <c r="L19" i="15"/>
  <c r="H4" i="15"/>
  <c r="H18" i="15" s="1"/>
  <c r="D4" i="15"/>
  <c r="G345" i="13" l="1"/>
  <c r="L22" i="15"/>
  <c r="D17" i="15"/>
  <c r="M1222" i="14"/>
  <c r="L1222" i="14"/>
  <c r="B1900" i="14"/>
  <c r="B1901" i="14" s="1"/>
  <c r="B1902" i="14" s="1"/>
  <c r="B1903" i="14" s="1"/>
  <c r="B1904" i="14" s="1"/>
  <c r="B1905" i="14" s="1"/>
  <c r="B1906" i="14" s="1"/>
  <c r="B1907" i="14" s="1"/>
  <c r="B1908" i="14" s="1"/>
  <c r="B1909" i="14" s="1"/>
  <c r="B1910" i="14" s="1"/>
  <c r="B1911" i="14" s="1"/>
  <c r="B1912" i="14" s="1"/>
  <c r="B1913" i="14" s="1"/>
  <c r="B1914" i="14" s="1"/>
  <c r="B1915" i="14" s="1"/>
  <c r="B1916" i="14" s="1"/>
  <c r="B1917" i="14" s="1"/>
  <c r="B1918" i="14" s="1"/>
  <c r="B1919" i="14" s="1"/>
  <c r="J1902" i="14"/>
  <c r="P1902" i="14" s="1"/>
  <c r="I1903" i="14"/>
  <c r="O1903" i="14" s="1"/>
  <c r="P1903" i="14"/>
  <c r="I1904" i="14"/>
  <c r="K1904" i="14" s="1"/>
  <c r="P1904" i="14"/>
  <c r="I1905" i="14"/>
  <c r="K1905" i="14" s="1"/>
  <c r="P1905" i="14"/>
  <c r="J1906" i="14"/>
  <c r="P1906" i="14" s="1"/>
  <c r="I1907" i="14"/>
  <c r="P1907" i="14"/>
  <c r="L1909" i="14"/>
  <c r="L1908" i="14" s="1"/>
  <c r="M1909" i="14"/>
  <c r="M1908" i="14" s="1"/>
  <c r="O1910" i="14"/>
  <c r="P1910" i="14"/>
  <c r="O1911" i="14"/>
  <c r="P1911" i="14"/>
  <c r="I1913" i="14"/>
  <c r="K1913" i="14" s="1"/>
  <c r="P1913" i="14"/>
  <c r="I1914" i="14"/>
  <c r="K1914" i="14" s="1"/>
  <c r="P1914" i="14"/>
  <c r="J1915" i="14"/>
  <c r="J1912" i="14" s="1"/>
  <c r="I1916" i="14"/>
  <c r="P1916" i="14"/>
  <c r="I1917" i="14"/>
  <c r="O1917" i="14" s="1"/>
  <c r="P1917" i="14"/>
  <c r="I1918" i="14"/>
  <c r="K1918" i="14" s="1"/>
  <c r="P1918" i="14"/>
  <c r="I1919" i="14"/>
  <c r="K1919" i="14" s="1"/>
  <c r="P1919" i="14"/>
  <c r="B1708" i="14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1866" i="14" s="1"/>
  <c r="B1867" i="14" s="1"/>
  <c r="B1868" i="14" s="1"/>
  <c r="B1869" i="14" s="1"/>
  <c r="B1870" i="14" s="1"/>
  <c r="B1871" i="14" s="1"/>
  <c r="B1872" i="14" s="1"/>
  <c r="B1873" i="14" s="1"/>
  <c r="B1874" i="14" s="1"/>
  <c r="B1875" i="14" s="1"/>
  <c r="B1876" i="14" s="1"/>
  <c r="B1877" i="14" s="1"/>
  <c r="B1878" i="14" s="1"/>
  <c r="B1879" i="14" s="1"/>
  <c r="B1880" i="14" s="1"/>
  <c r="B1881" i="14" s="1"/>
  <c r="B1882" i="14" s="1"/>
  <c r="L1711" i="14"/>
  <c r="O1711" i="14" s="1"/>
  <c r="M1711" i="14"/>
  <c r="P1711" i="14" s="1"/>
  <c r="N1712" i="14"/>
  <c r="O1712" i="14"/>
  <c r="P1712" i="14"/>
  <c r="K1714" i="14"/>
  <c r="O1714" i="14"/>
  <c r="P1714" i="14"/>
  <c r="K1715" i="14"/>
  <c r="O1715" i="14"/>
  <c r="P1715" i="14"/>
  <c r="I1717" i="14"/>
  <c r="K1717" i="14" s="1"/>
  <c r="P1717" i="14"/>
  <c r="I1718" i="14"/>
  <c r="K1718" i="14" s="1"/>
  <c r="P1718" i="14"/>
  <c r="K1719" i="14"/>
  <c r="O1719" i="14"/>
  <c r="P1719" i="14"/>
  <c r="J1720" i="14"/>
  <c r="J1716" i="14" s="1"/>
  <c r="O1720" i="14"/>
  <c r="K1721" i="14"/>
  <c r="O1721" i="14"/>
  <c r="P1721" i="14"/>
  <c r="I1724" i="14"/>
  <c r="K1724" i="14" s="1"/>
  <c r="P1724" i="14"/>
  <c r="I1725" i="14"/>
  <c r="P1725" i="14"/>
  <c r="J1726" i="14"/>
  <c r="P1726" i="14" s="1"/>
  <c r="I1727" i="14"/>
  <c r="K1727" i="14" s="1"/>
  <c r="P1727" i="14"/>
  <c r="I1728" i="14"/>
  <c r="P1728" i="14"/>
  <c r="I1729" i="14"/>
  <c r="P1729" i="14"/>
  <c r="J1731" i="14"/>
  <c r="J1730" i="14" s="1"/>
  <c r="K1732" i="14"/>
  <c r="O1732" i="14"/>
  <c r="P1732" i="14"/>
  <c r="I1733" i="14"/>
  <c r="I1731" i="14" s="1"/>
  <c r="P1733" i="14"/>
  <c r="J1735" i="14"/>
  <c r="K1736" i="14"/>
  <c r="O1736" i="14"/>
  <c r="P1736" i="14"/>
  <c r="I1737" i="14"/>
  <c r="K1737" i="14" s="1"/>
  <c r="P1737" i="14"/>
  <c r="K1738" i="14"/>
  <c r="O1738" i="14"/>
  <c r="P1738" i="14"/>
  <c r="K1739" i="14"/>
  <c r="O1739" i="14"/>
  <c r="P1739" i="14"/>
  <c r="K1740" i="14"/>
  <c r="O1740" i="14"/>
  <c r="P1740" i="14"/>
  <c r="K1741" i="14"/>
  <c r="O1741" i="14"/>
  <c r="P1741" i="14"/>
  <c r="K1742" i="14"/>
  <c r="O1742" i="14"/>
  <c r="P1742" i="14"/>
  <c r="K1743" i="14"/>
  <c r="O1743" i="14"/>
  <c r="P1743" i="14"/>
  <c r="I1744" i="14"/>
  <c r="O1744" i="14" s="1"/>
  <c r="J1744" i="14"/>
  <c r="P1744" i="14" s="1"/>
  <c r="K1745" i="14"/>
  <c r="O1745" i="14"/>
  <c r="P1745" i="14"/>
  <c r="J1747" i="14"/>
  <c r="I1748" i="14"/>
  <c r="K1748" i="14" s="1"/>
  <c r="P1748" i="14"/>
  <c r="K1749" i="14"/>
  <c r="O1749" i="14"/>
  <c r="P1749" i="14"/>
  <c r="I1753" i="14"/>
  <c r="K1753" i="14" s="1"/>
  <c r="P1753" i="14"/>
  <c r="I1754" i="14"/>
  <c r="K1754" i="14" s="1"/>
  <c r="P1754" i="14"/>
  <c r="J1755" i="14"/>
  <c r="I1756" i="14"/>
  <c r="O1756" i="14" s="1"/>
  <c r="P1756" i="14"/>
  <c r="I1757" i="14"/>
  <c r="P1757" i="14"/>
  <c r="K1758" i="14"/>
  <c r="O1758" i="14"/>
  <c r="P1758" i="14"/>
  <c r="I1759" i="14"/>
  <c r="O1759" i="14" s="1"/>
  <c r="P1759" i="14"/>
  <c r="I1760" i="14"/>
  <c r="K1760" i="14" s="1"/>
  <c r="P1760" i="14"/>
  <c r="I1761" i="14"/>
  <c r="K1761" i="14" s="1"/>
  <c r="P1761" i="14"/>
  <c r="L1763" i="14"/>
  <c r="M1763" i="14"/>
  <c r="N1764" i="14"/>
  <c r="O1764" i="14"/>
  <c r="P1764" i="14"/>
  <c r="I1767" i="14"/>
  <c r="K1767" i="14" s="1"/>
  <c r="P1767" i="14"/>
  <c r="I1768" i="14"/>
  <c r="K1768" i="14" s="1"/>
  <c r="P1768" i="14"/>
  <c r="I1770" i="14"/>
  <c r="O1770" i="14" s="1"/>
  <c r="P1770" i="14"/>
  <c r="I1771" i="14"/>
  <c r="K1771" i="14" s="1"/>
  <c r="P1771" i="14"/>
  <c r="I1772" i="14"/>
  <c r="K1772" i="14" s="1"/>
  <c r="P1772" i="14"/>
  <c r="K1773" i="14"/>
  <c r="O1773" i="14"/>
  <c r="P1773" i="14"/>
  <c r="I1774" i="14"/>
  <c r="O1774" i="14" s="1"/>
  <c r="J1774" i="14"/>
  <c r="P1774" i="14" s="1"/>
  <c r="I1775" i="14"/>
  <c r="K1775" i="14" s="1"/>
  <c r="P1775" i="14"/>
  <c r="O1776" i="14"/>
  <c r="P1776" i="14"/>
  <c r="J1779" i="14"/>
  <c r="P1779" i="14" s="1"/>
  <c r="K1780" i="14"/>
  <c r="O1780" i="14"/>
  <c r="P1780" i="14"/>
  <c r="I1781" i="14"/>
  <c r="O1781" i="14" s="1"/>
  <c r="P1781" i="14"/>
  <c r="I1782" i="14"/>
  <c r="O1782" i="14" s="1"/>
  <c r="P1782" i="14"/>
  <c r="I1783" i="14"/>
  <c r="O1783" i="14" s="1"/>
  <c r="J1783" i="14"/>
  <c r="K1784" i="14"/>
  <c r="O1784" i="14"/>
  <c r="P1784" i="14"/>
  <c r="K1785" i="14"/>
  <c r="O1785" i="14"/>
  <c r="P1785" i="14"/>
  <c r="K1788" i="14"/>
  <c r="O1788" i="14"/>
  <c r="P1788" i="14"/>
  <c r="K1789" i="14"/>
  <c r="O1789" i="14"/>
  <c r="P1789" i="14"/>
  <c r="K1791" i="14"/>
  <c r="O1791" i="14"/>
  <c r="P1791" i="14"/>
  <c r="I1792" i="14"/>
  <c r="O1792" i="14" s="1"/>
  <c r="P1792" i="14"/>
  <c r="I1793" i="14"/>
  <c r="K1793" i="14" s="1"/>
  <c r="P1793" i="14"/>
  <c r="I1794" i="14"/>
  <c r="K1794" i="14" s="1"/>
  <c r="P1794" i="14"/>
  <c r="I1795" i="14"/>
  <c r="K1795" i="14" s="1"/>
  <c r="P1795" i="14"/>
  <c r="K1796" i="14"/>
  <c r="O1796" i="14"/>
  <c r="P1796" i="14"/>
  <c r="I1797" i="14"/>
  <c r="O1797" i="14" s="1"/>
  <c r="J1797" i="14"/>
  <c r="I1798" i="14"/>
  <c r="O1798" i="14" s="1"/>
  <c r="P1798" i="14"/>
  <c r="L1800" i="14"/>
  <c r="O1800" i="14" s="1"/>
  <c r="M1800" i="14"/>
  <c r="P1800" i="14" s="1"/>
  <c r="N1801" i="14"/>
  <c r="O1801" i="14"/>
  <c r="P1801" i="14"/>
  <c r="L1802" i="14"/>
  <c r="O1802" i="14" s="1"/>
  <c r="M1802" i="14"/>
  <c r="N1803" i="14"/>
  <c r="O1803" i="14"/>
  <c r="P1803" i="14"/>
  <c r="M1804" i="14"/>
  <c r="N1805" i="14"/>
  <c r="O1805" i="14"/>
  <c r="P1805" i="14"/>
  <c r="L1806" i="14"/>
  <c r="L1804" i="14" s="1"/>
  <c r="P1806" i="14"/>
  <c r="N1807" i="14"/>
  <c r="O1807" i="14"/>
  <c r="P1807" i="14"/>
  <c r="I1809" i="14"/>
  <c r="I1808" i="14" s="1"/>
  <c r="O1808" i="14" s="1"/>
  <c r="J1809" i="14"/>
  <c r="J1808" i="14" s="1"/>
  <c r="K1810" i="14"/>
  <c r="O1810" i="14"/>
  <c r="P1810" i="14"/>
  <c r="K1811" i="14"/>
  <c r="O1811" i="14"/>
  <c r="P1811" i="14"/>
  <c r="K1812" i="14"/>
  <c r="O1812" i="14"/>
  <c r="P1812" i="14"/>
  <c r="K1813" i="14"/>
  <c r="O1813" i="14"/>
  <c r="P1813" i="14"/>
  <c r="I1816" i="14"/>
  <c r="K1816" i="14" s="1"/>
  <c r="P1816" i="14"/>
  <c r="I1817" i="14"/>
  <c r="K1817" i="14" s="1"/>
  <c r="P1817" i="14"/>
  <c r="K1819" i="14"/>
  <c r="O1819" i="14"/>
  <c r="P1819" i="14"/>
  <c r="I1820" i="14"/>
  <c r="O1820" i="14" s="1"/>
  <c r="P1820" i="14"/>
  <c r="I1821" i="14"/>
  <c r="K1821" i="14" s="1"/>
  <c r="P1821" i="14"/>
  <c r="K1822" i="14"/>
  <c r="O1822" i="14"/>
  <c r="P1822" i="14"/>
  <c r="I1823" i="14"/>
  <c r="K1823" i="14" s="1"/>
  <c r="P1823" i="14"/>
  <c r="K1824" i="14"/>
  <c r="O1824" i="14"/>
  <c r="P1824" i="14"/>
  <c r="I1825" i="14"/>
  <c r="J1825" i="14"/>
  <c r="J1818" i="14" s="1"/>
  <c r="K1826" i="14"/>
  <c r="O1826" i="14"/>
  <c r="P1826" i="14"/>
  <c r="L1828" i="14"/>
  <c r="O1828" i="14" s="1"/>
  <c r="M1828" i="14"/>
  <c r="P1828" i="14" s="1"/>
  <c r="N1829" i="14"/>
  <c r="O1829" i="14"/>
  <c r="P1829" i="14"/>
  <c r="L1830" i="14"/>
  <c r="M1830" i="14"/>
  <c r="P1830" i="14" s="1"/>
  <c r="N1831" i="14"/>
  <c r="O1831" i="14"/>
  <c r="P1831" i="14"/>
  <c r="M1832" i="14"/>
  <c r="P1832" i="14" s="1"/>
  <c r="L1833" i="14"/>
  <c r="L1832" i="14" s="1"/>
  <c r="P1833" i="14"/>
  <c r="N1834" i="14"/>
  <c r="O1834" i="14"/>
  <c r="P1834" i="14"/>
  <c r="N1835" i="14"/>
  <c r="O1835" i="14"/>
  <c r="P1835" i="14"/>
  <c r="I1838" i="14"/>
  <c r="O1838" i="14" s="1"/>
  <c r="P1838" i="14"/>
  <c r="I1839" i="14"/>
  <c r="K1839" i="14" s="1"/>
  <c r="P1839" i="14"/>
  <c r="K1841" i="14"/>
  <c r="O1841" i="14"/>
  <c r="P1841" i="14"/>
  <c r="K1842" i="14"/>
  <c r="O1842" i="14"/>
  <c r="P1842" i="14"/>
  <c r="I1843" i="14"/>
  <c r="K1843" i="14" s="1"/>
  <c r="P1843" i="14"/>
  <c r="I1844" i="14"/>
  <c r="P1844" i="14"/>
  <c r="I1845" i="14"/>
  <c r="J1845" i="14"/>
  <c r="I1846" i="14"/>
  <c r="K1846" i="14" s="1"/>
  <c r="P1846" i="14"/>
  <c r="J1848" i="14"/>
  <c r="P1848" i="14" s="1"/>
  <c r="I1849" i="14"/>
  <c r="P1849" i="14"/>
  <c r="J1851" i="14"/>
  <c r="P1851" i="14" s="1"/>
  <c r="I1852" i="14"/>
  <c r="I1851" i="14" s="1"/>
  <c r="O1851" i="14" s="1"/>
  <c r="P1852" i="14"/>
  <c r="I1853" i="14"/>
  <c r="J1853" i="14"/>
  <c r="P1853" i="14" s="1"/>
  <c r="K1854" i="14"/>
  <c r="O1854" i="14"/>
  <c r="P1854" i="14"/>
  <c r="I1857" i="14"/>
  <c r="K1857" i="14" s="1"/>
  <c r="P1857" i="14"/>
  <c r="I1858" i="14"/>
  <c r="O1858" i="14" s="1"/>
  <c r="P1858" i="14"/>
  <c r="J1859" i="14"/>
  <c r="I1860" i="14"/>
  <c r="P1860" i="14"/>
  <c r="I1861" i="14"/>
  <c r="O1861" i="14" s="1"/>
  <c r="P1861" i="14"/>
  <c r="I1862" i="14"/>
  <c r="K1862" i="14" s="1"/>
  <c r="P1862" i="14"/>
  <c r="I1863" i="14"/>
  <c r="P1863" i="14"/>
  <c r="I1864" i="14"/>
  <c r="P1864" i="14"/>
  <c r="M1866" i="14"/>
  <c r="P1866" i="14" s="1"/>
  <c r="L1867" i="14"/>
  <c r="P1867" i="14"/>
  <c r="M1868" i="14"/>
  <c r="P1868" i="14" s="1"/>
  <c r="L1869" i="14"/>
  <c r="L1868" i="14" s="1"/>
  <c r="O1868" i="14" s="1"/>
  <c r="P1869" i="14"/>
  <c r="I1872" i="14"/>
  <c r="O1872" i="14" s="1"/>
  <c r="P1872" i="14"/>
  <c r="I1873" i="14"/>
  <c r="K1873" i="14" s="1"/>
  <c r="P1873" i="14"/>
  <c r="I1875" i="14"/>
  <c r="O1875" i="14" s="1"/>
  <c r="P1875" i="14"/>
  <c r="K1876" i="14"/>
  <c r="O1876" i="14"/>
  <c r="P1876" i="14"/>
  <c r="K1877" i="14"/>
  <c r="O1877" i="14"/>
  <c r="P1877" i="14"/>
  <c r="I1878" i="14"/>
  <c r="K1878" i="14" s="1"/>
  <c r="P1878" i="14"/>
  <c r="K1879" i="14"/>
  <c r="O1879" i="14"/>
  <c r="P1879" i="14"/>
  <c r="J1880" i="14"/>
  <c r="P1880" i="14" s="1"/>
  <c r="O1880" i="14"/>
  <c r="I1881" i="14"/>
  <c r="K1881" i="14" s="1"/>
  <c r="P1881" i="14"/>
  <c r="O1882" i="14"/>
  <c r="P1882" i="14"/>
  <c r="B1598" i="14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I1599" i="14"/>
  <c r="O1599" i="14" s="1"/>
  <c r="J1599" i="14"/>
  <c r="P1599" i="14" s="1"/>
  <c r="K1600" i="14"/>
  <c r="O1600" i="14"/>
  <c r="P1600" i="14"/>
  <c r="L1602" i="14"/>
  <c r="O1602" i="14" s="1"/>
  <c r="M1602" i="14"/>
  <c r="N1603" i="14"/>
  <c r="O1603" i="14"/>
  <c r="P1603" i="14"/>
  <c r="M1604" i="14"/>
  <c r="P1604" i="14" s="1"/>
  <c r="N1605" i="14"/>
  <c r="O1605" i="14"/>
  <c r="P1605" i="14"/>
  <c r="L1606" i="14"/>
  <c r="N1606" i="14" s="1"/>
  <c r="P1606" i="14"/>
  <c r="I1609" i="14"/>
  <c r="O1609" i="14" s="1"/>
  <c r="J1609" i="14"/>
  <c r="I1610" i="14"/>
  <c r="J1610" i="14"/>
  <c r="P1610" i="14" s="1"/>
  <c r="J1612" i="14"/>
  <c r="K1612" i="14" s="1"/>
  <c r="O1612" i="14"/>
  <c r="J1613" i="14"/>
  <c r="P1613" i="14" s="1"/>
  <c r="O1613" i="14"/>
  <c r="I1614" i="14"/>
  <c r="O1614" i="14" s="1"/>
  <c r="J1614" i="14"/>
  <c r="I1615" i="14"/>
  <c r="O1615" i="14" s="1"/>
  <c r="J1615" i="14"/>
  <c r="I1616" i="14"/>
  <c r="O1616" i="14" s="1"/>
  <c r="J1616" i="14"/>
  <c r="I1617" i="14"/>
  <c r="O1617" i="14" s="1"/>
  <c r="J1617" i="14"/>
  <c r="I1618" i="14"/>
  <c r="O1618" i="14" s="1"/>
  <c r="J1618" i="14"/>
  <c r="P1618" i="14" s="1"/>
  <c r="L1620" i="14"/>
  <c r="M1620" i="14"/>
  <c r="M1619" i="14" s="1"/>
  <c r="P1619" i="14" s="1"/>
  <c r="N1621" i="14"/>
  <c r="O1621" i="14"/>
  <c r="P1621" i="14"/>
  <c r="K1623" i="14"/>
  <c r="O1623" i="14"/>
  <c r="P1623" i="14"/>
  <c r="K1624" i="14"/>
  <c r="O1624" i="14"/>
  <c r="P1624" i="14"/>
  <c r="J1625" i="14"/>
  <c r="P1625" i="14" s="1"/>
  <c r="I1626" i="14"/>
  <c r="O1626" i="14" s="1"/>
  <c r="P1626" i="14"/>
  <c r="I1627" i="14"/>
  <c r="K1627" i="14" s="1"/>
  <c r="P1627" i="14"/>
  <c r="I1628" i="14"/>
  <c r="O1628" i="14" s="1"/>
  <c r="P1628" i="14"/>
  <c r="K1629" i="14"/>
  <c r="O1629" i="14"/>
  <c r="P1629" i="14"/>
  <c r="I1630" i="14"/>
  <c r="O1630" i="14" s="1"/>
  <c r="P1630" i="14"/>
  <c r="I1631" i="14"/>
  <c r="K1631" i="14" s="1"/>
  <c r="P1631" i="14"/>
  <c r="J1634" i="14"/>
  <c r="J1633" i="14" s="1"/>
  <c r="K1635" i="14"/>
  <c r="O1635" i="14"/>
  <c r="P1635" i="14"/>
  <c r="I1636" i="14"/>
  <c r="K1636" i="14" s="1"/>
  <c r="P1636" i="14"/>
  <c r="K1637" i="14"/>
  <c r="O1637" i="14"/>
  <c r="P1637" i="14"/>
  <c r="L1639" i="14"/>
  <c r="O1639" i="14" s="1"/>
  <c r="M1639" i="14"/>
  <c r="N1640" i="14"/>
  <c r="O1640" i="14"/>
  <c r="P1640" i="14"/>
  <c r="N1641" i="14"/>
  <c r="O1641" i="14"/>
  <c r="P1641" i="14"/>
  <c r="N1642" i="14"/>
  <c r="O1642" i="14"/>
  <c r="P1642" i="14"/>
  <c r="L1643" i="14"/>
  <c r="O1643" i="14" s="1"/>
  <c r="M1643" i="14"/>
  <c r="N1644" i="14"/>
  <c r="O1644" i="14"/>
  <c r="P1644" i="14"/>
  <c r="N1645" i="14"/>
  <c r="O1645" i="14"/>
  <c r="P1645" i="14"/>
  <c r="N1646" i="14"/>
  <c r="O1646" i="14"/>
  <c r="P1646" i="14"/>
  <c r="I1648" i="14"/>
  <c r="O1648" i="14" s="1"/>
  <c r="J1648" i="14"/>
  <c r="P1648" i="14" s="1"/>
  <c r="K1649" i="14"/>
  <c r="O1649" i="14"/>
  <c r="P1649" i="14"/>
  <c r="J1651" i="14"/>
  <c r="K1652" i="14"/>
  <c r="O1652" i="14"/>
  <c r="P1652" i="14"/>
  <c r="K1653" i="14"/>
  <c r="O1653" i="14"/>
  <c r="P1653" i="14"/>
  <c r="I1654" i="14"/>
  <c r="I1651" i="14" s="1"/>
  <c r="O1651" i="14" s="1"/>
  <c r="P1654" i="14"/>
  <c r="I1655" i="14"/>
  <c r="O1655" i="14" s="1"/>
  <c r="J1655" i="14"/>
  <c r="P1655" i="14" s="1"/>
  <c r="K1656" i="14"/>
  <c r="O1656" i="14"/>
  <c r="P1656" i="14"/>
  <c r="K1657" i="14"/>
  <c r="O1657" i="14"/>
  <c r="P1657" i="14"/>
  <c r="M1659" i="14"/>
  <c r="N1660" i="14"/>
  <c r="O1660" i="14"/>
  <c r="P1660" i="14"/>
  <c r="L1661" i="14"/>
  <c r="N1661" i="14" s="1"/>
  <c r="P1661" i="14"/>
  <c r="L1662" i="14"/>
  <c r="O1662" i="14" s="1"/>
  <c r="M1662" i="14"/>
  <c r="N1663" i="14"/>
  <c r="O1663" i="14"/>
  <c r="P1663" i="14"/>
  <c r="I1665" i="14"/>
  <c r="O1665" i="14" s="1"/>
  <c r="J1665" i="14"/>
  <c r="K1666" i="14"/>
  <c r="O1666" i="14"/>
  <c r="P1666" i="14"/>
  <c r="I1668" i="14"/>
  <c r="I1667" i="14" s="1"/>
  <c r="O1667" i="14" s="1"/>
  <c r="J1668" i="14"/>
  <c r="J1667" i="14" s="1"/>
  <c r="K1669" i="14"/>
  <c r="O1669" i="14"/>
  <c r="P1669" i="14"/>
  <c r="L1672" i="14"/>
  <c r="O1672" i="14" s="1"/>
  <c r="M1672" i="14"/>
  <c r="M1671" i="14" s="1"/>
  <c r="N1673" i="14"/>
  <c r="O1673" i="14"/>
  <c r="P1673" i="14"/>
  <c r="J1675" i="14"/>
  <c r="J1674" i="14" s="1"/>
  <c r="P1674" i="14" s="1"/>
  <c r="I1676" i="14"/>
  <c r="K1676" i="14" s="1"/>
  <c r="P1676" i="14"/>
  <c r="I1677" i="14"/>
  <c r="K1677" i="14" s="1"/>
  <c r="P1677" i="14"/>
  <c r="I1678" i="14"/>
  <c r="P1678" i="14"/>
  <c r="I1679" i="14"/>
  <c r="O1679" i="14" s="1"/>
  <c r="P1679" i="14"/>
  <c r="K1682" i="14"/>
  <c r="O1682" i="14"/>
  <c r="P1682" i="14"/>
  <c r="K1683" i="14"/>
  <c r="O1683" i="14"/>
  <c r="P1683" i="14"/>
  <c r="J1684" i="14"/>
  <c r="J1681" i="14" s="1"/>
  <c r="I1685" i="14"/>
  <c r="O1685" i="14" s="1"/>
  <c r="P1685" i="14"/>
  <c r="K1686" i="14"/>
  <c r="O1686" i="14"/>
  <c r="P1686" i="14"/>
  <c r="K1687" i="14"/>
  <c r="O1687" i="14"/>
  <c r="P1687" i="14"/>
  <c r="I1688" i="14"/>
  <c r="K1688" i="14" s="1"/>
  <c r="P1688" i="14"/>
  <c r="I1689" i="14"/>
  <c r="K1689" i="14" s="1"/>
  <c r="P1689" i="14"/>
  <c r="K1690" i="14"/>
  <c r="O1690" i="14"/>
  <c r="P1690" i="14"/>
  <c r="I1691" i="14"/>
  <c r="K1691" i="14" s="1"/>
  <c r="P1691" i="14"/>
  <c r="M1693" i="14"/>
  <c r="L1694" i="14"/>
  <c r="O1694" i="14" s="1"/>
  <c r="P1694" i="14"/>
  <c r="L1695" i="14"/>
  <c r="P1695" i="14"/>
  <c r="L1696" i="14"/>
  <c r="O1696" i="14" s="1"/>
  <c r="M1696" i="14"/>
  <c r="P1696" i="14" s="1"/>
  <c r="N1697" i="14"/>
  <c r="O1697" i="14"/>
  <c r="P1697" i="14"/>
  <c r="B1508" i="14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I1510" i="14"/>
  <c r="O1510" i="14" s="1"/>
  <c r="J1510" i="14"/>
  <c r="J1509" i="14" s="1"/>
  <c r="P1509" i="14" s="1"/>
  <c r="K1511" i="14"/>
  <c r="O1511" i="14"/>
  <c r="P1511" i="14"/>
  <c r="K1512" i="14"/>
  <c r="O1512" i="14"/>
  <c r="P1512" i="14"/>
  <c r="K1513" i="14"/>
  <c r="O1513" i="14"/>
  <c r="P1513" i="14"/>
  <c r="K1514" i="14"/>
  <c r="O1514" i="14"/>
  <c r="P1514" i="14"/>
  <c r="K1515" i="14"/>
  <c r="O1515" i="14"/>
  <c r="P1515" i="14"/>
  <c r="I1516" i="14"/>
  <c r="K1516" i="14" s="1"/>
  <c r="P1516" i="14"/>
  <c r="K1517" i="14"/>
  <c r="O1517" i="14"/>
  <c r="P1517" i="14"/>
  <c r="K1518" i="14"/>
  <c r="O1518" i="14"/>
  <c r="P1518" i="14"/>
  <c r="K1519" i="14"/>
  <c r="O1519" i="14"/>
  <c r="P1519" i="14"/>
  <c r="K1520" i="14"/>
  <c r="O1520" i="14"/>
  <c r="P1520" i="14"/>
  <c r="K1521" i="14"/>
  <c r="O1521" i="14"/>
  <c r="P1521" i="14"/>
  <c r="I1522" i="14"/>
  <c r="O1522" i="14" s="1"/>
  <c r="P1522" i="14"/>
  <c r="K1523" i="14"/>
  <c r="O1523" i="14"/>
  <c r="P1523" i="14"/>
  <c r="K1524" i="14"/>
  <c r="O1524" i="14"/>
  <c r="P1524" i="14"/>
  <c r="K1525" i="14"/>
  <c r="O1525" i="14"/>
  <c r="P1525" i="14"/>
  <c r="K1528" i="14"/>
  <c r="O1528" i="14"/>
  <c r="P1528" i="14"/>
  <c r="I1529" i="14"/>
  <c r="J1529" i="14"/>
  <c r="J1527" i="14" s="1"/>
  <c r="K1530" i="14"/>
  <c r="O1530" i="14"/>
  <c r="P1530" i="14"/>
  <c r="K1532" i="14"/>
  <c r="O1532" i="14"/>
  <c r="P1532" i="14"/>
  <c r="I1533" i="14"/>
  <c r="K1533" i="14" s="1"/>
  <c r="P1533" i="14"/>
  <c r="I1534" i="14"/>
  <c r="O1534" i="14" s="1"/>
  <c r="J1534" i="14"/>
  <c r="K1535" i="14"/>
  <c r="O1535" i="14"/>
  <c r="P1535" i="14"/>
  <c r="K1536" i="14"/>
  <c r="O1536" i="14"/>
  <c r="P1536" i="14"/>
  <c r="K1537" i="14"/>
  <c r="O1537" i="14"/>
  <c r="P1537" i="14"/>
  <c r="K1538" i="14"/>
  <c r="O1538" i="14"/>
  <c r="P1538" i="14"/>
  <c r="L1540" i="14"/>
  <c r="O1540" i="14" s="1"/>
  <c r="M1540" i="14"/>
  <c r="N1541" i="14"/>
  <c r="O1541" i="14"/>
  <c r="P1541" i="14"/>
  <c r="N1542" i="14"/>
  <c r="O1542" i="14"/>
  <c r="P1542" i="14"/>
  <c r="N1543" i="14"/>
  <c r="O1543" i="14"/>
  <c r="P1543" i="14"/>
  <c r="M1544" i="14"/>
  <c r="P1544" i="14" s="1"/>
  <c r="L1545" i="14"/>
  <c r="N1545" i="14" s="1"/>
  <c r="P1545" i="14"/>
  <c r="L1546" i="14"/>
  <c r="O1546" i="14" s="1"/>
  <c r="P1546" i="14"/>
  <c r="L1547" i="14"/>
  <c r="N1547" i="14" s="1"/>
  <c r="P1547" i="14"/>
  <c r="I1549" i="14"/>
  <c r="K1549" i="14" s="1"/>
  <c r="P1549" i="14"/>
  <c r="I1550" i="14"/>
  <c r="O1550" i="14" s="1"/>
  <c r="P1550" i="14"/>
  <c r="J1551" i="14"/>
  <c r="J1548" i="14" s="1"/>
  <c r="K1552" i="14"/>
  <c r="O1552" i="14"/>
  <c r="P1552" i="14"/>
  <c r="I1553" i="14"/>
  <c r="O1553" i="14" s="1"/>
  <c r="P1553" i="14"/>
  <c r="K1554" i="14"/>
  <c r="O1554" i="14"/>
  <c r="P1554" i="14"/>
  <c r="I1555" i="14"/>
  <c r="K1555" i="14" s="1"/>
  <c r="P1555" i="14"/>
  <c r="I1556" i="14"/>
  <c r="P1556" i="14"/>
  <c r="M1558" i="14"/>
  <c r="L1559" i="14"/>
  <c r="L1558" i="14" s="1"/>
  <c r="P1559" i="14"/>
  <c r="N1560" i="14"/>
  <c r="O1560" i="14"/>
  <c r="P1560" i="14"/>
  <c r="N1561" i="14"/>
  <c r="O1561" i="14"/>
  <c r="P1561" i="14"/>
  <c r="N1562" i="14"/>
  <c r="O1562" i="14"/>
  <c r="P1562" i="14"/>
  <c r="N1563" i="14"/>
  <c r="O1563" i="14"/>
  <c r="P1563" i="14"/>
  <c r="N1564" i="14"/>
  <c r="O1564" i="14"/>
  <c r="P1564" i="14"/>
  <c r="L1565" i="14"/>
  <c r="O1565" i="14" s="1"/>
  <c r="M1565" i="14"/>
  <c r="P1565" i="14" s="1"/>
  <c r="N1566" i="14"/>
  <c r="O1566" i="14"/>
  <c r="P1566" i="14"/>
  <c r="M1567" i="14"/>
  <c r="L1568" i="14"/>
  <c r="N1568" i="14" s="1"/>
  <c r="P1568" i="14"/>
  <c r="I1570" i="14"/>
  <c r="O1570" i="14" s="1"/>
  <c r="J1570" i="14"/>
  <c r="P1570" i="14" s="1"/>
  <c r="K1571" i="14"/>
  <c r="O1571" i="14"/>
  <c r="P1571" i="14"/>
  <c r="L1572" i="14"/>
  <c r="L1569" i="14" s="1"/>
  <c r="M1572" i="14"/>
  <c r="M1569" i="14" s="1"/>
  <c r="N1573" i="14"/>
  <c r="O1573" i="14"/>
  <c r="P1573" i="14"/>
  <c r="J1575" i="14"/>
  <c r="P1575" i="14" s="1"/>
  <c r="I1576" i="14"/>
  <c r="K1576" i="14" s="1"/>
  <c r="P1576" i="14"/>
  <c r="I1577" i="14"/>
  <c r="K1577" i="14" s="1"/>
  <c r="P1577" i="14"/>
  <c r="I1578" i="14"/>
  <c r="O1578" i="14" s="1"/>
  <c r="P1578" i="14"/>
  <c r="I1579" i="14"/>
  <c r="K1579" i="14" s="1"/>
  <c r="P1579" i="14"/>
  <c r="B1364" i="14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I1365" i="14"/>
  <c r="O1365" i="14" s="1"/>
  <c r="J1365" i="14"/>
  <c r="P1365" i="14" s="1"/>
  <c r="K1366" i="14"/>
  <c r="O1366" i="14"/>
  <c r="P1366" i="14"/>
  <c r="J1368" i="14"/>
  <c r="I1369" i="14"/>
  <c r="K1369" i="14" s="1"/>
  <c r="P1369" i="14"/>
  <c r="I1370" i="14"/>
  <c r="O1370" i="14" s="1"/>
  <c r="P1370" i="14"/>
  <c r="K1371" i="14"/>
  <c r="O1371" i="14"/>
  <c r="P1371" i="14"/>
  <c r="K1372" i="14"/>
  <c r="O1372" i="14"/>
  <c r="P1372" i="14"/>
  <c r="I1373" i="14"/>
  <c r="K1373" i="14" s="1"/>
  <c r="P1373" i="14"/>
  <c r="K1374" i="14"/>
  <c r="O1374" i="14"/>
  <c r="P1374" i="14"/>
  <c r="K1375" i="14"/>
  <c r="O1375" i="14"/>
  <c r="P1375" i="14"/>
  <c r="K1376" i="14"/>
  <c r="O1376" i="14"/>
  <c r="P1376" i="14"/>
  <c r="K1377" i="14"/>
  <c r="O1377" i="14"/>
  <c r="P1377" i="14"/>
  <c r="K1378" i="14"/>
  <c r="O1378" i="14"/>
  <c r="P1378" i="14"/>
  <c r="K1379" i="14"/>
  <c r="O1379" i="14"/>
  <c r="P1379" i="14"/>
  <c r="I1380" i="14"/>
  <c r="P1380" i="14"/>
  <c r="K1381" i="14"/>
  <c r="O1381" i="14"/>
  <c r="P1381" i="14"/>
  <c r="K1382" i="14"/>
  <c r="O1382" i="14"/>
  <c r="P1382" i="14"/>
  <c r="K1383" i="14"/>
  <c r="O1383" i="14"/>
  <c r="P1383" i="14"/>
  <c r="I1386" i="14"/>
  <c r="I1385" i="14" s="1"/>
  <c r="J1386" i="14"/>
  <c r="K1387" i="14"/>
  <c r="O1387" i="14"/>
  <c r="P1387" i="14"/>
  <c r="K1388" i="14"/>
  <c r="O1388" i="14"/>
  <c r="P1388" i="14"/>
  <c r="L1390" i="14"/>
  <c r="O1390" i="14" s="1"/>
  <c r="M1390" i="14"/>
  <c r="N1391" i="14"/>
  <c r="O1391" i="14"/>
  <c r="P1391" i="14"/>
  <c r="M1392" i="14"/>
  <c r="N1393" i="14"/>
  <c r="O1393" i="14"/>
  <c r="P1393" i="14"/>
  <c r="L1394" i="14"/>
  <c r="O1394" i="14" s="1"/>
  <c r="P1394" i="14"/>
  <c r="L1395" i="14"/>
  <c r="O1395" i="14" s="1"/>
  <c r="P1395" i="14"/>
  <c r="J1397" i="14"/>
  <c r="J1396" i="14" s="1"/>
  <c r="K1398" i="14"/>
  <c r="O1398" i="14"/>
  <c r="P1398" i="14"/>
  <c r="I1399" i="14"/>
  <c r="P1399" i="14"/>
  <c r="K1400" i="14"/>
  <c r="O1400" i="14"/>
  <c r="P1400" i="14"/>
  <c r="I1401" i="14"/>
  <c r="K1401" i="14" s="1"/>
  <c r="P1401" i="14"/>
  <c r="L1403" i="14"/>
  <c r="O1403" i="14" s="1"/>
  <c r="M1403" i="14"/>
  <c r="N1404" i="14"/>
  <c r="O1404" i="14"/>
  <c r="P1404" i="14"/>
  <c r="M1405" i="14"/>
  <c r="P1405" i="14" s="1"/>
  <c r="L1406" i="14"/>
  <c r="L1405" i="14" s="1"/>
  <c r="P1406" i="14"/>
  <c r="N1407" i="14"/>
  <c r="O1407" i="14"/>
  <c r="P1407" i="14"/>
  <c r="I1409" i="14"/>
  <c r="O1409" i="14" s="1"/>
  <c r="J1409" i="14"/>
  <c r="K1410" i="14"/>
  <c r="O1410" i="14"/>
  <c r="P1410" i="14"/>
  <c r="K1411" i="14"/>
  <c r="O1411" i="14"/>
  <c r="P1411" i="14"/>
  <c r="L1413" i="14"/>
  <c r="M1413" i="14"/>
  <c r="P1413" i="14" s="1"/>
  <c r="N1414" i="14"/>
  <c r="O1414" i="14"/>
  <c r="P1414" i="14"/>
  <c r="L1415" i="14"/>
  <c r="O1415" i="14" s="1"/>
  <c r="M1415" i="14"/>
  <c r="N1416" i="14"/>
  <c r="O1416" i="14"/>
  <c r="P1416" i="14"/>
  <c r="L1417" i="14"/>
  <c r="M1417" i="14"/>
  <c r="P1417" i="14" s="1"/>
  <c r="N1418" i="14"/>
  <c r="O1418" i="14"/>
  <c r="P1418" i="14"/>
  <c r="N1419" i="14"/>
  <c r="O1419" i="14"/>
  <c r="P1419" i="14"/>
  <c r="K1421" i="14"/>
  <c r="O1421" i="14"/>
  <c r="P1421" i="14"/>
  <c r="K1422" i="14"/>
  <c r="O1422" i="14"/>
  <c r="P1422" i="14"/>
  <c r="J1423" i="14"/>
  <c r="J1420" i="14" s="1"/>
  <c r="I1424" i="14"/>
  <c r="K1424" i="14" s="1"/>
  <c r="P1424" i="14"/>
  <c r="I1425" i="14"/>
  <c r="O1425" i="14" s="1"/>
  <c r="P1425" i="14"/>
  <c r="I1426" i="14"/>
  <c r="K1426" i="14" s="1"/>
  <c r="P1426" i="14"/>
  <c r="K1427" i="14"/>
  <c r="O1427" i="14"/>
  <c r="P1427" i="14"/>
  <c r="I1428" i="14"/>
  <c r="P1428" i="14"/>
  <c r="K1429" i="14"/>
  <c r="O1429" i="14"/>
  <c r="P1429" i="14"/>
  <c r="I1431" i="14"/>
  <c r="O1431" i="14" s="1"/>
  <c r="J1431" i="14"/>
  <c r="K1432" i="14"/>
  <c r="O1432" i="14"/>
  <c r="P1432" i="14"/>
  <c r="M1435" i="14"/>
  <c r="M1434" i="14" s="1"/>
  <c r="L1436" i="14"/>
  <c r="P1436" i="14"/>
  <c r="J1438" i="14"/>
  <c r="K1438" i="14" s="1"/>
  <c r="O1438" i="14"/>
  <c r="I1439" i="14"/>
  <c r="O1439" i="14" s="1"/>
  <c r="J1439" i="14"/>
  <c r="J1441" i="14"/>
  <c r="O1441" i="14"/>
  <c r="I1442" i="14"/>
  <c r="O1442" i="14" s="1"/>
  <c r="J1442" i="14"/>
  <c r="I1443" i="14"/>
  <c r="O1443" i="14" s="1"/>
  <c r="J1443" i="14"/>
  <c r="J1444" i="14"/>
  <c r="K1444" i="14" s="1"/>
  <c r="O1444" i="14"/>
  <c r="I1445" i="14"/>
  <c r="O1445" i="14" s="1"/>
  <c r="J1445" i="14"/>
  <c r="L1447" i="14"/>
  <c r="L1446" i="14" s="1"/>
  <c r="M1447" i="14"/>
  <c r="N1448" i="14"/>
  <c r="O1448" i="14"/>
  <c r="P1448" i="14"/>
  <c r="I1451" i="14"/>
  <c r="O1451" i="14" s="1"/>
  <c r="J1451" i="14"/>
  <c r="K1452" i="14"/>
  <c r="O1452" i="14"/>
  <c r="P1452" i="14"/>
  <c r="M1454" i="14"/>
  <c r="N1455" i="14"/>
  <c r="O1455" i="14"/>
  <c r="P1455" i="14"/>
  <c r="N1456" i="14"/>
  <c r="O1456" i="14"/>
  <c r="P1456" i="14"/>
  <c r="N1457" i="14"/>
  <c r="O1457" i="14"/>
  <c r="P1457" i="14"/>
  <c r="N1458" i="14"/>
  <c r="O1458" i="14"/>
  <c r="P1458" i="14"/>
  <c r="N1459" i="14"/>
  <c r="O1459" i="14"/>
  <c r="P1459" i="14"/>
  <c r="N1460" i="14"/>
  <c r="O1460" i="14"/>
  <c r="P1460" i="14"/>
  <c r="L1461" i="14"/>
  <c r="N1461" i="14" s="1"/>
  <c r="P1461" i="14"/>
  <c r="N1462" i="14"/>
  <c r="O1462" i="14"/>
  <c r="P1462" i="14"/>
  <c r="N1463" i="14"/>
  <c r="O1463" i="14"/>
  <c r="P1463" i="14"/>
  <c r="N1464" i="14"/>
  <c r="O1464" i="14"/>
  <c r="P1464" i="14"/>
  <c r="L1465" i="14"/>
  <c r="O1465" i="14" s="1"/>
  <c r="P1465" i="14"/>
  <c r="N1466" i="14"/>
  <c r="O1466" i="14"/>
  <c r="P1466" i="14"/>
  <c r="N1467" i="14"/>
  <c r="O1467" i="14"/>
  <c r="P1467" i="14"/>
  <c r="M1468" i="14"/>
  <c r="P1468" i="14" s="1"/>
  <c r="N1469" i="14"/>
  <c r="O1469" i="14"/>
  <c r="P1469" i="14"/>
  <c r="L1470" i="14"/>
  <c r="O1470" i="14" s="1"/>
  <c r="P1470" i="14"/>
  <c r="N1471" i="14"/>
  <c r="O1471" i="14"/>
  <c r="P1471" i="14"/>
  <c r="N1472" i="14"/>
  <c r="O1472" i="14"/>
  <c r="P1472" i="14"/>
  <c r="L1473" i="14"/>
  <c r="P1473" i="14"/>
  <c r="N1474" i="14"/>
  <c r="O1474" i="14"/>
  <c r="P1474" i="14"/>
  <c r="N1475" i="14"/>
  <c r="O1475" i="14"/>
  <c r="P1475" i="14"/>
  <c r="L1476" i="14"/>
  <c r="O1476" i="14" s="1"/>
  <c r="P1476" i="14"/>
  <c r="N1477" i="14"/>
  <c r="O1477" i="14"/>
  <c r="P1477" i="14"/>
  <c r="L1478" i="14"/>
  <c r="O1478" i="14" s="1"/>
  <c r="P1478" i="14"/>
  <c r="L1479" i="14"/>
  <c r="O1479" i="14" s="1"/>
  <c r="P1479" i="14"/>
  <c r="N1480" i="14"/>
  <c r="O1480" i="14"/>
  <c r="P1480" i="14"/>
  <c r="L1481" i="14"/>
  <c r="O1481" i="14" s="1"/>
  <c r="P1481" i="14"/>
  <c r="N1482" i="14"/>
  <c r="O1482" i="14"/>
  <c r="P1482" i="14"/>
  <c r="N1483" i="14"/>
  <c r="O1483" i="14"/>
  <c r="P1483" i="14"/>
  <c r="N1484" i="14"/>
  <c r="O1484" i="14"/>
  <c r="P1484" i="14"/>
  <c r="N1485" i="14"/>
  <c r="O1485" i="14"/>
  <c r="P1485" i="14"/>
  <c r="N1486" i="14"/>
  <c r="O1486" i="14"/>
  <c r="P1486" i="14"/>
  <c r="K1488" i="14"/>
  <c r="O1488" i="14"/>
  <c r="P1488" i="14"/>
  <c r="K1489" i="14"/>
  <c r="O1489" i="14"/>
  <c r="P1489" i="14"/>
  <c r="J1490" i="14"/>
  <c r="J1487" i="14" s="1"/>
  <c r="I1491" i="14"/>
  <c r="O1491" i="14" s="1"/>
  <c r="P1491" i="14"/>
  <c r="I1492" i="14"/>
  <c r="K1492" i="14" s="1"/>
  <c r="P1492" i="14"/>
  <c r="K1493" i="14"/>
  <c r="O1493" i="14"/>
  <c r="P1493" i="14"/>
  <c r="I1494" i="14"/>
  <c r="P1494" i="14"/>
  <c r="K1495" i="14"/>
  <c r="O1495" i="14"/>
  <c r="P1495" i="14"/>
  <c r="I1496" i="14"/>
  <c r="P1496" i="14"/>
  <c r="I1497" i="14"/>
  <c r="K1497" i="14" s="1"/>
  <c r="P1497" i="14"/>
  <c r="B497" i="14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J499" i="14"/>
  <c r="I500" i="14"/>
  <c r="K500" i="14" s="1"/>
  <c r="P500" i="14"/>
  <c r="I501" i="14"/>
  <c r="O501" i="14" s="1"/>
  <c r="P501" i="14"/>
  <c r="I502" i="14"/>
  <c r="P502" i="14"/>
  <c r="I503" i="14"/>
  <c r="K503" i="14" s="1"/>
  <c r="P503" i="14"/>
  <c r="I504" i="14"/>
  <c r="O504" i="14" s="1"/>
  <c r="P504" i="14"/>
  <c r="I505" i="14"/>
  <c r="O505" i="14" s="1"/>
  <c r="P505" i="14"/>
  <c r="I506" i="14"/>
  <c r="K506" i="14" s="1"/>
  <c r="P506" i="14"/>
  <c r="I507" i="14"/>
  <c r="O507" i="14" s="1"/>
  <c r="P507" i="14"/>
  <c r="I508" i="14"/>
  <c r="K508" i="14" s="1"/>
  <c r="P508" i="14"/>
  <c r="I510" i="14"/>
  <c r="K510" i="14" s="1"/>
  <c r="P510" i="14"/>
  <c r="I511" i="14"/>
  <c r="K511" i="14" s="1"/>
  <c r="P511" i="14"/>
  <c r="J512" i="14"/>
  <c r="J509" i="14" s="1"/>
  <c r="P509" i="14" s="1"/>
  <c r="K513" i="14"/>
  <c r="O513" i="14"/>
  <c r="P513" i="14"/>
  <c r="I514" i="14"/>
  <c r="P514" i="14"/>
  <c r="I515" i="14"/>
  <c r="O515" i="14" s="1"/>
  <c r="P515" i="14"/>
  <c r="K516" i="14"/>
  <c r="O516" i="14"/>
  <c r="P516" i="14"/>
  <c r="I517" i="14"/>
  <c r="O517" i="14" s="1"/>
  <c r="P517" i="14"/>
  <c r="I518" i="14"/>
  <c r="K518" i="14" s="1"/>
  <c r="P518" i="14"/>
  <c r="K519" i="14"/>
  <c r="O519" i="14"/>
  <c r="P519" i="14"/>
  <c r="J521" i="14"/>
  <c r="P521" i="14" s="1"/>
  <c r="I522" i="14"/>
  <c r="O522" i="14" s="1"/>
  <c r="K522" i="14"/>
  <c r="P522" i="14"/>
  <c r="I523" i="14"/>
  <c r="P523" i="14"/>
  <c r="K524" i="14"/>
  <c r="O524" i="14"/>
  <c r="P524" i="14"/>
  <c r="K525" i="14"/>
  <c r="O525" i="14"/>
  <c r="P525" i="14"/>
  <c r="K527" i="14"/>
  <c r="O527" i="14"/>
  <c r="P527" i="14"/>
  <c r="K528" i="14"/>
  <c r="O528" i="14"/>
  <c r="P528" i="14"/>
  <c r="I529" i="14"/>
  <c r="I526" i="14" s="1"/>
  <c r="O526" i="14" s="1"/>
  <c r="J529" i="14"/>
  <c r="K530" i="14"/>
  <c r="O530" i="14"/>
  <c r="P530" i="14"/>
  <c r="K531" i="14"/>
  <c r="O531" i="14"/>
  <c r="P531" i="14"/>
  <c r="K532" i="14"/>
  <c r="O532" i="14"/>
  <c r="P532" i="14"/>
  <c r="K533" i="14"/>
  <c r="O533" i="14"/>
  <c r="P533" i="14"/>
  <c r="K534" i="14"/>
  <c r="O534" i="14"/>
  <c r="P534" i="14"/>
  <c r="K535" i="14"/>
  <c r="O535" i="14"/>
  <c r="P535" i="14"/>
  <c r="K536" i="14"/>
  <c r="O536" i="14"/>
  <c r="P536" i="14"/>
  <c r="K537" i="14"/>
  <c r="O537" i="14"/>
  <c r="P537" i="14"/>
  <c r="I539" i="14"/>
  <c r="K539" i="14" s="1"/>
  <c r="P539" i="14"/>
  <c r="I540" i="14"/>
  <c r="O540" i="14" s="1"/>
  <c r="P540" i="14"/>
  <c r="J541" i="14"/>
  <c r="J538" i="14" s="1"/>
  <c r="I542" i="14"/>
  <c r="P542" i="14"/>
  <c r="I543" i="14"/>
  <c r="O543" i="14" s="1"/>
  <c r="P543" i="14"/>
  <c r="I544" i="14"/>
  <c r="O544" i="14" s="1"/>
  <c r="P544" i="14"/>
  <c r="I545" i="14"/>
  <c r="K545" i="14" s="1"/>
  <c r="P545" i="14"/>
  <c r="I546" i="14"/>
  <c r="P546" i="14"/>
  <c r="L548" i="14"/>
  <c r="M548" i="14"/>
  <c r="N549" i="14"/>
  <c r="O549" i="14"/>
  <c r="P549" i="14"/>
  <c r="I551" i="14"/>
  <c r="K551" i="14" s="1"/>
  <c r="P551" i="14"/>
  <c r="I552" i="14"/>
  <c r="O552" i="14" s="1"/>
  <c r="P552" i="14"/>
  <c r="J553" i="14"/>
  <c r="P553" i="14" s="1"/>
  <c r="I554" i="14"/>
  <c r="K554" i="14" s="1"/>
  <c r="P554" i="14"/>
  <c r="I555" i="14"/>
  <c r="O555" i="14" s="1"/>
  <c r="P555" i="14"/>
  <c r="I556" i="14"/>
  <c r="P556" i="14"/>
  <c r="I557" i="14"/>
  <c r="K557" i="14" s="1"/>
  <c r="P557" i="14"/>
  <c r="I558" i="14"/>
  <c r="K558" i="14" s="1"/>
  <c r="P558" i="14"/>
  <c r="M560" i="14"/>
  <c r="P560" i="14" s="1"/>
  <c r="L561" i="14"/>
  <c r="L560" i="14" s="1"/>
  <c r="O560" i="14" s="1"/>
  <c r="P561" i="14"/>
  <c r="I563" i="14"/>
  <c r="P563" i="14"/>
  <c r="I564" i="14"/>
  <c r="P564" i="14"/>
  <c r="J565" i="14"/>
  <c r="I566" i="14"/>
  <c r="K566" i="14" s="1"/>
  <c r="P566" i="14"/>
  <c r="I567" i="14"/>
  <c r="K567" i="14" s="1"/>
  <c r="P567" i="14"/>
  <c r="I568" i="14"/>
  <c r="K568" i="14" s="1"/>
  <c r="P568" i="14"/>
  <c r="I569" i="14"/>
  <c r="K569" i="14" s="1"/>
  <c r="P569" i="14"/>
  <c r="I570" i="14"/>
  <c r="K570" i="14" s="1"/>
  <c r="P570" i="14"/>
  <c r="L572" i="14"/>
  <c r="M572" i="14"/>
  <c r="M571" i="14" s="1"/>
  <c r="N573" i="14"/>
  <c r="O573" i="14"/>
  <c r="P573" i="14"/>
  <c r="I575" i="14"/>
  <c r="P575" i="14"/>
  <c r="I576" i="14"/>
  <c r="K576" i="14" s="1"/>
  <c r="P576" i="14"/>
  <c r="J577" i="14"/>
  <c r="J574" i="14" s="1"/>
  <c r="P574" i="14" s="1"/>
  <c r="I578" i="14"/>
  <c r="K578" i="14" s="1"/>
  <c r="P578" i="14"/>
  <c r="I579" i="14"/>
  <c r="K579" i="14" s="1"/>
  <c r="P579" i="14"/>
  <c r="I580" i="14"/>
  <c r="P580" i="14"/>
  <c r="I581" i="14"/>
  <c r="P581" i="14"/>
  <c r="I582" i="14"/>
  <c r="K582" i="14" s="1"/>
  <c r="P582" i="14"/>
  <c r="I584" i="14"/>
  <c r="P584" i="14"/>
  <c r="I585" i="14"/>
  <c r="K585" i="14" s="1"/>
  <c r="P585" i="14"/>
  <c r="J586" i="14"/>
  <c r="J583" i="14" s="1"/>
  <c r="I587" i="14"/>
  <c r="O587" i="14" s="1"/>
  <c r="P587" i="14"/>
  <c r="I588" i="14"/>
  <c r="P588" i="14"/>
  <c r="I589" i="14"/>
  <c r="K589" i="14" s="1"/>
  <c r="P589" i="14"/>
  <c r="I590" i="14"/>
  <c r="P590" i="14"/>
  <c r="I591" i="14"/>
  <c r="O591" i="14" s="1"/>
  <c r="P591" i="14"/>
  <c r="I592" i="14"/>
  <c r="K592" i="14" s="1"/>
  <c r="P592" i="14"/>
  <c r="I594" i="14"/>
  <c r="P594" i="14"/>
  <c r="I595" i="14"/>
  <c r="P595" i="14"/>
  <c r="J596" i="14"/>
  <c r="P596" i="14" s="1"/>
  <c r="I597" i="14"/>
  <c r="P597" i="14"/>
  <c r="I598" i="14"/>
  <c r="K598" i="14" s="1"/>
  <c r="P598" i="14"/>
  <c r="I599" i="14"/>
  <c r="O599" i="14" s="1"/>
  <c r="P599" i="14"/>
  <c r="I600" i="14"/>
  <c r="P600" i="14"/>
  <c r="I601" i="14"/>
  <c r="K601" i="14" s="1"/>
  <c r="P601" i="14"/>
  <c r="M603" i="14"/>
  <c r="P603" i="14" s="1"/>
  <c r="L604" i="14"/>
  <c r="O604" i="14" s="1"/>
  <c r="P604" i="14"/>
  <c r="L605" i="14"/>
  <c r="P605" i="14"/>
  <c r="I607" i="14"/>
  <c r="K607" i="14" s="1"/>
  <c r="P607" i="14"/>
  <c r="I608" i="14"/>
  <c r="O608" i="14" s="1"/>
  <c r="P608" i="14"/>
  <c r="J609" i="14"/>
  <c r="J606" i="14" s="1"/>
  <c r="I610" i="14"/>
  <c r="K610" i="14" s="1"/>
  <c r="P610" i="14"/>
  <c r="I611" i="14"/>
  <c r="O611" i="14" s="1"/>
  <c r="P611" i="14"/>
  <c r="I612" i="14"/>
  <c r="K612" i="14" s="1"/>
  <c r="P612" i="14"/>
  <c r="I613" i="14"/>
  <c r="P613" i="14"/>
  <c r="I614" i="14"/>
  <c r="P614" i="14"/>
  <c r="M616" i="14"/>
  <c r="L617" i="14"/>
  <c r="L616" i="14" s="1"/>
  <c r="P617" i="14"/>
  <c r="N618" i="14"/>
  <c r="O618" i="14"/>
  <c r="P618" i="14"/>
  <c r="I620" i="14"/>
  <c r="O620" i="14" s="1"/>
  <c r="P620" i="14"/>
  <c r="I621" i="14"/>
  <c r="K621" i="14" s="1"/>
  <c r="P621" i="14"/>
  <c r="J622" i="14"/>
  <c r="J619" i="14" s="1"/>
  <c r="K623" i="14"/>
  <c r="O623" i="14"/>
  <c r="P623" i="14"/>
  <c r="I624" i="14"/>
  <c r="O624" i="14" s="1"/>
  <c r="P624" i="14"/>
  <c r="I625" i="14"/>
  <c r="O625" i="14" s="1"/>
  <c r="P625" i="14"/>
  <c r="I626" i="14"/>
  <c r="K626" i="14" s="1"/>
  <c r="P626" i="14"/>
  <c r="I627" i="14"/>
  <c r="K627" i="14" s="1"/>
  <c r="P627" i="14"/>
  <c r="L629" i="14"/>
  <c r="O629" i="14" s="1"/>
  <c r="M629" i="14"/>
  <c r="P629" i="14" s="1"/>
  <c r="N630" i="14"/>
  <c r="O630" i="14"/>
  <c r="P630" i="14"/>
  <c r="I632" i="14"/>
  <c r="O632" i="14" s="1"/>
  <c r="P632" i="14"/>
  <c r="I633" i="14"/>
  <c r="K633" i="14" s="1"/>
  <c r="P633" i="14"/>
  <c r="J634" i="14"/>
  <c r="I635" i="14"/>
  <c r="K635" i="14" s="1"/>
  <c r="P635" i="14"/>
  <c r="I636" i="14"/>
  <c r="K636" i="14" s="1"/>
  <c r="P636" i="14"/>
  <c r="I637" i="14"/>
  <c r="K637" i="14" s="1"/>
  <c r="P637" i="14"/>
  <c r="I638" i="14"/>
  <c r="P638" i="14"/>
  <c r="I639" i="14"/>
  <c r="O639" i="14" s="1"/>
  <c r="P639" i="14"/>
  <c r="I641" i="14"/>
  <c r="O641" i="14" s="1"/>
  <c r="P641" i="14"/>
  <c r="I642" i="14"/>
  <c r="K642" i="14" s="1"/>
  <c r="P642" i="14"/>
  <c r="J643" i="14"/>
  <c r="I644" i="14"/>
  <c r="K644" i="14" s="1"/>
  <c r="P644" i="14"/>
  <c r="I645" i="14"/>
  <c r="K645" i="14" s="1"/>
  <c r="P645" i="14"/>
  <c r="K646" i="14"/>
  <c r="O646" i="14"/>
  <c r="P646" i="14"/>
  <c r="I647" i="14"/>
  <c r="P647" i="14"/>
  <c r="I648" i="14"/>
  <c r="K648" i="14" s="1"/>
  <c r="P648" i="14"/>
  <c r="I649" i="14"/>
  <c r="P649" i="14"/>
  <c r="I651" i="14"/>
  <c r="K651" i="14" s="1"/>
  <c r="P651" i="14"/>
  <c r="I652" i="14"/>
  <c r="K652" i="14" s="1"/>
  <c r="P652" i="14"/>
  <c r="J653" i="14"/>
  <c r="J650" i="14" s="1"/>
  <c r="K654" i="14"/>
  <c r="O654" i="14"/>
  <c r="P654" i="14"/>
  <c r="I655" i="14"/>
  <c r="O655" i="14" s="1"/>
  <c r="P655" i="14"/>
  <c r="I656" i="14"/>
  <c r="P656" i="14"/>
  <c r="I657" i="14"/>
  <c r="P657" i="14"/>
  <c r="I658" i="14"/>
  <c r="K658" i="14" s="1"/>
  <c r="P658" i="14"/>
  <c r="O660" i="14"/>
  <c r="O661" i="14"/>
  <c r="P661" i="14"/>
  <c r="I663" i="14"/>
  <c r="O663" i="14" s="1"/>
  <c r="P663" i="14"/>
  <c r="I664" i="14"/>
  <c r="K664" i="14" s="1"/>
  <c r="P664" i="14"/>
  <c r="J665" i="14"/>
  <c r="K666" i="14"/>
  <c r="O666" i="14"/>
  <c r="P666" i="14"/>
  <c r="I667" i="14"/>
  <c r="K667" i="14" s="1"/>
  <c r="P667" i="14"/>
  <c r="K668" i="14"/>
  <c r="O668" i="14"/>
  <c r="P668" i="14"/>
  <c r="I669" i="14"/>
  <c r="O669" i="14" s="1"/>
  <c r="P669" i="14"/>
  <c r="I670" i="14"/>
  <c r="P670" i="14"/>
  <c r="I672" i="14"/>
  <c r="P672" i="14"/>
  <c r="I673" i="14"/>
  <c r="P673" i="14"/>
  <c r="J674" i="14"/>
  <c r="J671" i="14" s="1"/>
  <c r="K675" i="14"/>
  <c r="O675" i="14"/>
  <c r="P675" i="14"/>
  <c r="I676" i="14"/>
  <c r="K676" i="14" s="1"/>
  <c r="P676" i="14"/>
  <c r="I677" i="14"/>
  <c r="P677" i="14"/>
  <c r="I678" i="14"/>
  <c r="O678" i="14" s="1"/>
  <c r="P678" i="14"/>
  <c r="I679" i="14"/>
  <c r="K679" i="14" s="1"/>
  <c r="P679" i="14"/>
  <c r="L681" i="14"/>
  <c r="L680" i="14" s="1"/>
  <c r="M681" i="14"/>
  <c r="N682" i="14"/>
  <c r="O682" i="14"/>
  <c r="P682" i="14"/>
  <c r="I684" i="14"/>
  <c r="K684" i="14" s="1"/>
  <c r="P684" i="14"/>
  <c r="I685" i="14"/>
  <c r="K685" i="14" s="1"/>
  <c r="P685" i="14"/>
  <c r="J686" i="14"/>
  <c r="J683" i="14" s="1"/>
  <c r="P683" i="14" s="1"/>
  <c r="K687" i="14"/>
  <c r="O687" i="14"/>
  <c r="P687" i="14"/>
  <c r="I688" i="14"/>
  <c r="P688" i="14"/>
  <c r="I689" i="14"/>
  <c r="O689" i="14" s="1"/>
  <c r="P689" i="14"/>
  <c r="K690" i="14"/>
  <c r="O690" i="14"/>
  <c r="P690" i="14"/>
  <c r="I691" i="14"/>
  <c r="O691" i="14" s="1"/>
  <c r="P691" i="14"/>
  <c r="I692" i="14"/>
  <c r="P692" i="14"/>
  <c r="I694" i="14"/>
  <c r="O694" i="14" s="1"/>
  <c r="P694" i="14"/>
  <c r="I695" i="14"/>
  <c r="P695" i="14"/>
  <c r="J696" i="14"/>
  <c r="P696" i="14" s="1"/>
  <c r="K697" i="14"/>
  <c r="O697" i="14"/>
  <c r="P697" i="14"/>
  <c r="I698" i="14"/>
  <c r="P698" i="14"/>
  <c r="K699" i="14"/>
  <c r="O699" i="14"/>
  <c r="P699" i="14"/>
  <c r="I700" i="14"/>
  <c r="P700" i="14"/>
  <c r="K701" i="14"/>
  <c r="O701" i="14"/>
  <c r="P701" i="14"/>
  <c r="I702" i="14"/>
  <c r="O702" i="14" s="1"/>
  <c r="P702" i="14"/>
  <c r="I703" i="14"/>
  <c r="K703" i="14" s="1"/>
  <c r="P703" i="14"/>
  <c r="M705" i="14"/>
  <c r="L706" i="14"/>
  <c r="L705" i="14" s="1"/>
  <c r="P706" i="14"/>
  <c r="K709" i="14"/>
  <c r="O709" i="14"/>
  <c r="P709" i="14"/>
  <c r="J710" i="14"/>
  <c r="O710" i="14"/>
  <c r="I711" i="14"/>
  <c r="I708" i="14" s="1"/>
  <c r="P711" i="14"/>
  <c r="K712" i="14"/>
  <c r="O712" i="14"/>
  <c r="P712" i="14"/>
  <c r="I714" i="14"/>
  <c r="P714" i="14"/>
  <c r="I715" i="14"/>
  <c r="K715" i="14" s="1"/>
  <c r="P715" i="14"/>
  <c r="J716" i="14"/>
  <c r="P716" i="14" s="1"/>
  <c r="K717" i="14"/>
  <c r="O717" i="14"/>
  <c r="P717" i="14"/>
  <c r="I718" i="14"/>
  <c r="K718" i="14" s="1"/>
  <c r="P718" i="14"/>
  <c r="I719" i="14"/>
  <c r="K719" i="14" s="1"/>
  <c r="P719" i="14"/>
  <c r="I720" i="14"/>
  <c r="O720" i="14" s="1"/>
  <c r="P720" i="14"/>
  <c r="K721" i="14"/>
  <c r="O721" i="14"/>
  <c r="P721" i="14"/>
  <c r="I722" i="14"/>
  <c r="O722" i="14" s="1"/>
  <c r="P722" i="14"/>
  <c r="I723" i="14"/>
  <c r="P723" i="14"/>
  <c r="I724" i="14"/>
  <c r="K724" i="14" s="1"/>
  <c r="P724" i="14"/>
  <c r="I725" i="14"/>
  <c r="O725" i="14" s="1"/>
  <c r="P725" i="14"/>
  <c r="J726" i="14"/>
  <c r="P726" i="14" s="1"/>
  <c r="K727" i="14"/>
  <c r="O727" i="14"/>
  <c r="P727" i="14"/>
  <c r="I728" i="14"/>
  <c r="O728" i="14" s="1"/>
  <c r="P728" i="14"/>
  <c r="I729" i="14"/>
  <c r="K729" i="14" s="1"/>
  <c r="P729" i="14"/>
  <c r="I730" i="14"/>
  <c r="P730" i="14"/>
  <c r="I731" i="14"/>
  <c r="K731" i="14" s="1"/>
  <c r="P731" i="14"/>
  <c r="I732" i="14"/>
  <c r="O732" i="14" s="1"/>
  <c r="P732" i="14"/>
  <c r="I733" i="14"/>
  <c r="P733" i="14"/>
  <c r="K734" i="14"/>
  <c r="O734" i="14"/>
  <c r="P734" i="14"/>
  <c r="L736" i="14"/>
  <c r="O736" i="14" s="1"/>
  <c r="M736" i="14"/>
  <c r="N737" i="14"/>
  <c r="O737" i="14"/>
  <c r="P737" i="14"/>
  <c r="M738" i="14"/>
  <c r="P738" i="14" s="1"/>
  <c r="L739" i="14"/>
  <c r="N739" i="14" s="1"/>
  <c r="P739" i="14"/>
  <c r="N740" i="14"/>
  <c r="O740" i="14"/>
  <c r="P740" i="14"/>
  <c r="I742" i="14"/>
  <c r="K742" i="14" s="1"/>
  <c r="P742" i="14"/>
  <c r="I743" i="14"/>
  <c r="K743" i="14" s="1"/>
  <c r="P743" i="14"/>
  <c r="J744" i="14"/>
  <c r="P744" i="14" s="1"/>
  <c r="I745" i="14"/>
  <c r="K745" i="14" s="1"/>
  <c r="P745" i="14"/>
  <c r="I746" i="14"/>
  <c r="P746" i="14"/>
  <c r="I747" i="14"/>
  <c r="K747" i="14" s="1"/>
  <c r="P747" i="14"/>
  <c r="I748" i="14"/>
  <c r="P748" i="14"/>
  <c r="I749" i="14"/>
  <c r="O749" i="14" s="1"/>
  <c r="P749" i="14"/>
  <c r="I750" i="14"/>
  <c r="O750" i="14" s="1"/>
  <c r="P750" i="14"/>
  <c r="I751" i="14"/>
  <c r="K751" i="14" s="1"/>
  <c r="P751" i="14"/>
  <c r="J752" i="14"/>
  <c r="P752" i="14" s="1"/>
  <c r="I753" i="14"/>
  <c r="K753" i="14" s="1"/>
  <c r="P753" i="14"/>
  <c r="I754" i="14"/>
  <c r="P754" i="14"/>
  <c r="I755" i="14"/>
  <c r="K755" i="14" s="1"/>
  <c r="P755" i="14"/>
  <c r="K756" i="14"/>
  <c r="O756" i="14"/>
  <c r="P756" i="14"/>
  <c r="I757" i="14"/>
  <c r="O757" i="14" s="1"/>
  <c r="P757" i="14"/>
  <c r="K758" i="14"/>
  <c r="O758" i="14"/>
  <c r="P758" i="14"/>
  <c r="I759" i="14"/>
  <c r="O759" i="14" s="1"/>
  <c r="P759" i="14"/>
  <c r="I760" i="14"/>
  <c r="K760" i="14" s="1"/>
  <c r="P760" i="14"/>
  <c r="K761" i="14"/>
  <c r="O761" i="14"/>
  <c r="P761" i="14"/>
  <c r="L763" i="14"/>
  <c r="M763" i="14"/>
  <c r="M762" i="14" s="1"/>
  <c r="M741" i="14" s="1"/>
  <c r="N764" i="14"/>
  <c r="O764" i="14"/>
  <c r="P764" i="14"/>
  <c r="I766" i="14"/>
  <c r="O766" i="14" s="1"/>
  <c r="P766" i="14"/>
  <c r="I767" i="14"/>
  <c r="K767" i="14" s="1"/>
  <c r="P767" i="14"/>
  <c r="J768" i="14"/>
  <c r="P768" i="14" s="1"/>
  <c r="K769" i="14"/>
  <c r="O769" i="14"/>
  <c r="P769" i="14"/>
  <c r="I770" i="14"/>
  <c r="K770" i="14" s="1"/>
  <c r="P770" i="14"/>
  <c r="I771" i="14"/>
  <c r="K771" i="14" s="1"/>
  <c r="P771" i="14"/>
  <c r="I772" i="14"/>
  <c r="K772" i="14" s="1"/>
  <c r="P772" i="14"/>
  <c r="K773" i="14"/>
  <c r="O773" i="14"/>
  <c r="P773" i="14"/>
  <c r="I774" i="14"/>
  <c r="K774" i="14" s="1"/>
  <c r="P774" i="14"/>
  <c r="I775" i="14"/>
  <c r="K775" i="14" s="1"/>
  <c r="P775" i="14"/>
  <c r="I776" i="14"/>
  <c r="P776" i="14"/>
  <c r="I777" i="14"/>
  <c r="K777" i="14" s="1"/>
  <c r="P777" i="14"/>
  <c r="J778" i="14"/>
  <c r="P778" i="14" s="1"/>
  <c r="I779" i="14"/>
  <c r="P779" i="14"/>
  <c r="I780" i="14"/>
  <c r="P780" i="14"/>
  <c r="I781" i="14"/>
  <c r="K781" i="14" s="1"/>
  <c r="P781" i="14"/>
  <c r="I782" i="14"/>
  <c r="K782" i="14" s="1"/>
  <c r="P782" i="14"/>
  <c r="K783" i="14"/>
  <c r="O783" i="14"/>
  <c r="P783" i="14"/>
  <c r="I784" i="14"/>
  <c r="K784" i="14" s="1"/>
  <c r="P784" i="14"/>
  <c r="I785" i="14"/>
  <c r="K785" i="14" s="1"/>
  <c r="P785" i="14"/>
  <c r="K786" i="14"/>
  <c r="O786" i="14"/>
  <c r="P786" i="14"/>
  <c r="K787" i="14"/>
  <c r="O787" i="14"/>
  <c r="P787" i="14"/>
  <c r="M789" i="14"/>
  <c r="M788" i="14" s="1"/>
  <c r="L790" i="14"/>
  <c r="N790" i="14" s="1"/>
  <c r="P790" i="14"/>
  <c r="L791" i="14"/>
  <c r="P791" i="14"/>
  <c r="I793" i="14"/>
  <c r="K793" i="14" s="1"/>
  <c r="P793" i="14"/>
  <c r="I794" i="14"/>
  <c r="K794" i="14" s="1"/>
  <c r="P794" i="14"/>
  <c r="J795" i="14"/>
  <c r="P795" i="14" s="1"/>
  <c r="I796" i="14"/>
  <c r="K796" i="14" s="1"/>
  <c r="P796" i="14"/>
  <c r="I797" i="14"/>
  <c r="K797" i="14" s="1"/>
  <c r="P797" i="14"/>
  <c r="I798" i="14"/>
  <c r="K798" i="14" s="1"/>
  <c r="P798" i="14"/>
  <c r="I799" i="14"/>
  <c r="O799" i="14" s="1"/>
  <c r="P799" i="14"/>
  <c r="I800" i="14"/>
  <c r="O800" i="14" s="1"/>
  <c r="P800" i="14"/>
  <c r="I801" i="14"/>
  <c r="K801" i="14" s="1"/>
  <c r="P801" i="14"/>
  <c r="I802" i="14"/>
  <c r="P802" i="14"/>
  <c r="I803" i="14"/>
  <c r="K803" i="14" s="1"/>
  <c r="P803" i="14"/>
  <c r="I804" i="14"/>
  <c r="K804" i="14" s="1"/>
  <c r="P804" i="14"/>
  <c r="I805" i="14"/>
  <c r="K805" i="14" s="1"/>
  <c r="P805" i="14"/>
  <c r="J806" i="14"/>
  <c r="P806" i="14" s="1"/>
  <c r="I807" i="14"/>
  <c r="O807" i="14" s="1"/>
  <c r="P807" i="14"/>
  <c r="I808" i="14"/>
  <c r="P808" i="14"/>
  <c r="I809" i="14"/>
  <c r="K809" i="14" s="1"/>
  <c r="P809" i="14"/>
  <c r="K810" i="14"/>
  <c r="P810" i="14"/>
  <c r="I811" i="14"/>
  <c r="K811" i="14" s="1"/>
  <c r="P811" i="14"/>
  <c r="I812" i="14"/>
  <c r="K812" i="14" s="1"/>
  <c r="P812" i="14"/>
  <c r="I813" i="14"/>
  <c r="K813" i="14" s="1"/>
  <c r="P813" i="14"/>
  <c r="I814" i="14"/>
  <c r="K814" i="14" s="1"/>
  <c r="P814" i="14"/>
  <c r="K815" i="14"/>
  <c r="O815" i="14"/>
  <c r="P815" i="14"/>
  <c r="K816" i="14"/>
  <c r="O816" i="14"/>
  <c r="P816" i="14"/>
  <c r="L818" i="14"/>
  <c r="O818" i="14" s="1"/>
  <c r="M818" i="14"/>
  <c r="N819" i="14"/>
  <c r="O819" i="14"/>
  <c r="P819" i="14"/>
  <c r="L820" i="14"/>
  <c r="M820" i="14"/>
  <c r="N821" i="14"/>
  <c r="O821" i="14"/>
  <c r="P821" i="14"/>
  <c r="N822" i="14"/>
  <c r="O822" i="14"/>
  <c r="P822" i="14"/>
  <c r="I824" i="14"/>
  <c r="K824" i="14" s="1"/>
  <c r="P824" i="14"/>
  <c r="I825" i="14"/>
  <c r="O825" i="14" s="1"/>
  <c r="P825" i="14"/>
  <c r="J826" i="14"/>
  <c r="P826" i="14" s="1"/>
  <c r="K827" i="14"/>
  <c r="O827" i="14"/>
  <c r="P827" i="14"/>
  <c r="I828" i="14"/>
  <c r="K828" i="14" s="1"/>
  <c r="P828" i="14"/>
  <c r="I829" i="14"/>
  <c r="K829" i="14" s="1"/>
  <c r="P829" i="14"/>
  <c r="I830" i="14"/>
  <c r="O830" i="14" s="1"/>
  <c r="P830" i="14"/>
  <c r="I831" i="14"/>
  <c r="K831" i="14" s="1"/>
  <c r="P831" i="14"/>
  <c r="I832" i="14"/>
  <c r="O832" i="14" s="1"/>
  <c r="P832" i="14"/>
  <c r="I833" i="14"/>
  <c r="K833" i="14" s="1"/>
  <c r="P833" i="14"/>
  <c r="I834" i="14"/>
  <c r="K834" i="14" s="1"/>
  <c r="P834" i="14"/>
  <c r="I835" i="14"/>
  <c r="K835" i="14" s="1"/>
  <c r="P835" i="14"/>
  <c r="J836" i="14"/>
  <c r="K837" i="14"/>
  <c r="O837" i="14"/>
  <c r="P837" i="14"/>
  <c r="I838" i="14"/>
  <c r="P838" i="14"/>
  <c r="I839" i="14"/>
  <c r="K839" i="14" s="1"/>
  <c r="P839" i="14"/>
  <c r="I840" i="14"/>
  <c r="P840" i="14"/>
  <c r="I841" i="14"/>
  <c r="K841" i="14" s="1"/>
  <c r="P841" i="14"/>
  <c r="K842" i="14"/>
  <c r="O842" i="14"/>
  <c r="P842" i="14"/>
  <c r="I843" i="14"/>
  <c r="K843" i="14" s="1"/>
  <c r="P843" i="14"/>
  <c r="I844" i="14"/>
  <c r="P844" i="14"/>
  <c r="K845" i="14"/>
  <c r="O845" i="14"/>
  <c r="P845" i="14"/>
  <c r="K846" i="14"/>
  <c r="O846" i="14"/>
  <c r="P846" i="14"/>
  <c r="L848" i="14"/>
  <c r="O848" i="14" s="1"/>
  <c r="M848" i="14"/>
  <c r="N849" i="14"/>
  <c r="O849" i="14"/>
  <c r="P849" i="14"/>
  <c r="N850" i="14"/>
  <c r="O850" i="14"/>
  <c r="P850" i="14"/>
  <c r="L851" i="14"/>
  <c r="O851" i="14" s="1"/>
  <c r="M851" i="14"/>
  <c r="N852" i="14"/>
  <c r="O852" i="14"/>
  <c r="P852" i="14"/>
  <c r="I854" i="14"/>
  <c r="K854" i="14" s="1"/>
  <c r="P854" i="14"/>
  <c r="I855" i="14"/>
  <c r="K855" i="14" s="1"/>
  <c r="P855" i="14"/>
  <c r="J856" i="14"/>
  <c r="P856" i="14" s="1"/>
  <c r="K857" i="14"/>
  <c r="O857" i="14"/>
  <c r="P857" i="14"/>
  <c r="I858" i="14"/>
  <c r="P858" i="14"/>
  <c r="I859" i="14"/>
  <c r="O859" i="14" s="1"/>
  <c r="P859" i="14"/>
  <c r="I860" i="14"/>
  <c r="O860" i="14" s="1"/>
  <c r="P860" i="14"/>
  <c r="I861" i="14"/>
  <c r="O861" i="14" s="1"/>
  <c r="P861" i="14"/>
  <c r="I862" i="14"/>
  <c r="P862" i="14"/>
  <c r="I863" i="14"/>
  <c r="P863" i="14"/>
  <c r="I864" i="14"/>
  <c r="O864" i="14" s="1"/>
  <c r="P864" i="14"/>
  <c r="I865" i="14"/>
  <c r="K865" i="14" s="1"/>
  <c r="P865" i="14"/>
  <c r="J866" i="14"/>
  <c r="P866" i="14" s="1"/>
  <c r="I867" i="14"/>
  <c r="K867" i="14" s="1"/>
  <c r="P867" i="14"/>
  <c r="I868" i="14"/>
  <c r="O868" i="14" s="1"/>
  <c r="P868" i="14"/>
  <c r="I869" i="14"/>
  <c r="O869" i="14" s="1"/>
  <c r="P869" i="14"/>
  <c r="K870" i="14"/>
  <c r="O870" i="14"/>
  <c r="P870" i="14"/>
  <c r="I871" i="14"/>
  <c r="O871" i="14" s="1"/>
  <c r="P871" i="14"/>
  <c r="I872" i="14"/>
  <c r="K872" i="14" s="1"/>
  <c r="P872" i="14"/>
  <c r="I873" i="14"/>
  <c r="K873" i="14" s="1"/>
  <c r="P873" i="14"/>
  <c r="I874" i="14"/>
  <c r="K874" i="14" s="1"/>
  <c r="P874" i="14"/>
  <c r="K875" i="14"/>
  <c r="O875" i="14"/>
  <c r="P875" i="14"/>
  <c r="K876" i="14"/>
  <c r="O876" i="14"/>
  <c r="P876" i="14"/>
  <c r="M878" i="14"/>
  <c r="L879" i="14"/>
  <c r="N879" i="14" s="1"/>
  <c r="P879" i="14"/>
  <c r="M880" i="14"/>
  <c r="L881" i="14"/>
  <c r="O881" i="14" s="1"/>
  <c r="P881" i="14"/>
  <c r="L882" i="14"/>
  <c r="O882" i="14" s="1"/>
  <c r="P882" i="14"/>
  <c r="I884" i="14"/>
  <c r="P884" i="14"/>
  <c r="I885" i="14"/>
  <c r="K885" i="14" s="1"/>
  <c r="P885" i="14"/>
  <c r="J886" i="14"/>
  <c r="K887" i="14"/>
  <c r="O887" i="14"/>
  <c r="P887" i="14"/>
  <c r="I888" i="14"/>
  <c r="O888" i="14" s="1"/>
  <c r="P888" i="14"/>
  <c r="I889" i="14"/>
  <c r="K889" i="14" s="1"/>
  <c r="P889" i="14"/>
  <c r="I890" i="14"/>
  <c r="O890" i="14" s="1"/>
  <c r="P890" i="14"/>
  <c r="I891" i="14"/>
  <c r="P891" i="14"/>
  <c r="I892" i="14"/>
  <c r="K892" i="14" s="1"/>
  <c r="P892" i="14"/>
  <c r="I893" i="14"/>
  <c r="K893" i="14" s="1"/>
  <c r="P893" i="14"/>
  <c r="I894" i="14"/>
  <c r="P894" i="14"/>
  <c r="I895" i="14"/>
  <c r="P895" i="14"/>
  <c r="J896" i="14"/>
  <c r="P896" i="14" s="1"/>
  <c r="K897" i="14"/>
  <c r="O897" i="14"/>
  <c r="P897" i="14"/>
  <c r="I898" i="14"/>
  <c r="K898" i="14" s="1"/>
  <c r="P898" i="14"/>
  <c r="I899" i="14"/>
  <c r="K899" i="14" s="1"/>
  <c r="P899" i="14"/>
  <c r="I900" i="14"/>
  <c r="K900" i="14" s="1"/>
  <c r="P900" i="14"/>
  <c r="K901" i="14"/>
  <c r="O901" i="14"/>
  <c r="P901" i="14"/>
  <c r="I902" i="14"/>
  <c r="K902" i="14" s="1"/>
  <c r="P902" i="14"/>
  <c r="I903" i="14"/>
  <c r="K903" i="14" s="1"/>
  <c r="P903" i="14"/>
  <c r="K904" i="14"/>
  <c r="O904" i="14"/>
  <c r="P904" i="14"/>
  <c r="L906" i="14"/>
  <c r="O906" i="14" s="1"/>
  <c r="M906" i="14"/>
  <c r="N907" i="14"/>
  <c r="O907" i="14"/>
  <c r="P907" i="14"/>
  <c r="M908" i="14"/>
  <c r="P908" i="14" s="1"/>
  <c r="N909" i="14"/>
  <c r="O909" i="14"/>
  <c r="P909" i="14"/>
  <c r="L910" i="14"/>
  <c r="N910" i="14" s="1"/>
  <c r="P910" i="14"/>
  <c r="L911" i="14"/>
  <c r="O911" i="14" s="1"/>
  <c r="M911" i="14"/>
  <c r="N912" i="14"/>
  <c r="O912" i="14"/>
  <c r="P912" i="14"/>
  <c r="I914" i="14"/>
  <c r="K914" i="14" s="1"/>
  <c r="P914" i="14"/>
  <c r="I915" i="14"/>
  <c r="K915" i="14" s="1"/>
  <c r="P915" i="14"/>
  <c r="J916" i="14"/>
  <c r="I917" i="14"/>
  <c r="P917" i="14"/>
  <c r="I918" i="14"/>
  <c r="K918" i="14" s="1"/>
  <c r="P918" i="14"/>
  <c r="K919" i="14"/>
  <c r="O919" i="14"/>
  <c r="P919" i="14"/>
  <c r="K920" i="14"/>
  <c r="P920" i="14"/>
  <c r="K921" i="14"/>
  <c r="P921" i="14"/>
  <c r="I922" i="14"/>
  <c r="O922" i="14" s="1"/>
  <c r="P922" i="14"/>
  <c r="I923" i="14"/>
  <c r="K923" i="14" s="1"/>
  <c r="P923" i="14"/>
  <c r="I924" i="14"/>
  <c r="P924" i="14"/>
  <c r="I925" i="14"/>
  <c r="O925" i="14" s="1"/>
  <c r="P925" i="14"/>
  <c r="J926" i="14"/>
  <c r="P926" i="14" s="1"/>
  <c r="I927" i="14"/>
  <c r="K927" i="14" s="1"/>
  <c r="P927" i="14"/>
  <c r="I928" i="14"/>
  <c r="K928" i="14" s="1"/>
  <c r="P928" i="14"/>
  <c r="I929" i="14"/>
  <c r="P929" i="14"/>
  <c r="I930" i="14"/>
  <c r="O930" i="14" s="1"/>
  <c r="P930" i="14"/>
  <c r="I931" i="14"/>
  <c r="K931" i="14" s="1"/>
  <c r="P931" i="14"/>
  <c r="K932" i="14"/>
  <c r="O932" i="14"/>
  <c r="P932" i="14"/>
  <c r="M934" i="14"/>
  <c r="M933" i="14" s="1"/>
  <c r="N935" i="14"/>
  <c r="O935" i="14"/>
  <c r="P935" i="14"/>
  <c r="L936" i="14"/>
  <c r="P936" i="14"/>
  <c r="L937" i="14"/>
  <c r="O937" i="14" s="1"/>
  <c r="P937" i="14"/>
  <c r="J939" i="14"/>
  <c r="I940" i="14"/>
  <c r="K940" i="14" s="1"/>
  <c r="P940" i="14"/>
  <c r="I941" i="14"/>
  <c r="K941" i="14" s="1"/>
  <c r="P941" i="14"/>
  <c r="I942" i="14"/>
  <c r="P942" i="14"/>
  <c r="I943" i="14"/>
  <c r="P943" i="14"/>
  <c r="I944" i="14"/>
  <c r="K944" i="14" s="1"/>
  <c r="P944" i="14"/>
  <c r="I945" i="14"/>
  <c r="K945" i="14" s="1"/>
  <c r="P945" i="14"/>
  <c r="I946" i="14"/>
  <c r="K946" i="14" s="1"/>
  <c r="P946" i="14"/>
  <c r="I947" i="14"/>
  <c r="K947" i="14" s="1"/>
  <c r="P947" i="14"/>
  <c r="I949" i="14"/>
  <c r="P949" i="14"/>
  <c r="I950" i="14"/>
  <c r="P950" i="14"/>
  <c r="J951" i="14"/>
  <c r="J948" i="14" s="1"/>
  <c r="K952" i="14"/>
  <c r="O952" i="14"/>
  <c r="P952" i="14"/>
  <c r="I953" i="14"/>
  <c r="K953" i="14" s="1"/>
  <c r="P953" i="14"/>
  <c r="I954" i="14"/>
  <c r="K954" i="14" s="1"/>
  <c r="P954" i="14"/>
  <c r="K955" i="14"/>
  <c r="O955" i="14"/>
  <c r="P955" i="14"/>
  <c r="I956" i="14"/>
  <c r="K956" i="14" s="1"/>
  <c r="P956" i="14"/>
  <c r="I957" i="14"/>
  <c r="K957" i="14" s="1"/>
  <c r="P957" i="14"/>
  <c r="I958" i="14"/>
  <c r="O958" i="14" s="1"/>
  <c r="P958" i="14"/>
  <c r="I959" i="14"/>
  <c r="K959" i="14" s="1"/>
  <c r="P959" i="14"/>
  <c r="I961" i="14"/>
  <c r="O961" i="14" s="1"/>
  <c r="P961" i="14"/>
  <c r="I962" i="14"/>
  <c r="K962" i="14" s="1"/>
  <c r="P962" i="14"/>
  <c r="J963" i="14"/>
  <c r="P963" i="14" s="1"/>
  <c r="I964" i="14"/>
  <c r="K964" i="14" s="1"/>
  <c r="P964" i="14"/>
  <c r="I965" i="14"/>
  <c r="K965" i="14" s="1"/>
  <c r="P965" i="14"/>
  <c r="K966" i="14"/>
  <c r="O966" i="14"/>
  <c r="P966" i="14"/>
  <c r="I967" i="14"/>
  <c r="O967" i="14" s="1"/>
  <c r="P967" i="14"/>
  <c r="I968" i="14"/>
  <c r="P968" i="14"/>
  <c r="I969" i="14"/>
  <c r="P969" i="14"/>
  <c r="I971" i="14"/>
  <c r="P971" i="14"/>
  <c r="I972" i="14"/>
  <c r="P972" i="14"/>
  <c r="J973" i="14"/>
  <c r="J970" i="14" s="1"/>
  <c r="P970" i="14" s="1"/>
  <c r="K974" i="14"/>
  <c r="O974" i="14"/>
  <c r="P974" i="14"/>
  <c r="I975" i="14"/>
  <c r="O975" i="14" s="1"/>
  <c r="P975" i="14"/>
  <c r="I976" i="14"/>
  <c r="K976" i="14" s="1"/>
  <c r="P976" i="14"/>
  <c r="I977" i="14"/>
  <c r="K977" i="14" s="1"/>
  <c r="P977" i="14"/>
  <c r="I979" i="14"/>
  <c r="P979" i="14"/>
  <c r="I980" i="14"/>
  <c r="O980" i="14" s="1"/>
  <c r="P980" i="14"/>
  <c r="J981" i="14"/>
  <c r="I982" i="14"/>
  <c r="P982" i="14"/>
  <c r="I983" i="14"/>
  <c r="K983" i="14" s="1"/>
  <c r="P983" i="14"/>
  <c r="K984" i="14"/>
  <c r="O984" i="14"/>
  <c r="P984" i="14"/>
  <c r="I985" i="14"/>
  <c r="O985" i="14" s="1"/>
  <c r="P985" i="14"/>
  <c r="I986" i="14"/>
  <c r="K986" i="14" s="1"/>
  <c r="P986" i="14"/>
  <c r="I988" i="14"/>
  <c r="K988" i="14" s="1"/>
  <c r="P988" i="14"/>
  <c r="K989" i="14"/>
  <c r="O989" i="14"/>
  <c r="P989" i="14"/>
  <c r="J990" i="14"/>
  <c r="I991" i="14"/>
  <c r="P991" i="14"/>
  <c r="K992" i="14"/>
  <c r="O992" i="14"/>
  <c r="P992" i="14"/>
  <c r="I993" i="14"/>
  <c r="K993" i="14" s="1"/>
  <c r="P993" i="14"/>
  <c r="K994" i="14"/>
  <c r="O994" i="14"/>
  <c r="P994" i="14"/>
  <c r="I995" i="14"/>
  <c r="O995" i="14" s="1"/>
  <c r="P995" i="14"/>
  <c r="I997" i="14"/>
  <c r="K997" i="14" s="1"/>
  <c r="P997" i="14"/>
  <c r="I998" i="14"/>
  <c r="O998" i="14" s="1"/>
  <c r="P998" i="14"/>
  <c r="J999" i="14"/>
  <c r="K1000" i="14"/>
  <c r="O1000" i="14"/>
  <c r="P1000" i="14"/>
  <c r="I1001" i="14"/>
  <c r="K1001" i="14" s="1"/>
  <c r="P1001" i="14"/>
  <c r="K1002" i="14"/>
  <c r="O1002" i="14"/>
  <c r="P1002" i="14"/>
  <c r="I1003" i="14"/>
  <c r="K1003" i="14" s="1"/>
  <c r="P1003" i="14"/>
  <c r="I1004" i="14"/>
  <c r="O1004" i="14" s="1"/>
  <c r="P1004" i="14"/>
  <c r="I1006" i="14"/>
  <c r="P1006" i="14"/>
  <c r="I1007" i="14"/>
  <c r="K1007" i="14" s="1"/>
  <c r="P1007" i="14"/>
  <c r="J1008" i="14"/>
  <c r="I1009" i="14"/>
  <c r="K1009" i="14" s="1"/>
  <c r="P1009" i="14"/>
  <c r="I1010" i="14"/>
  <c r="K1010" i="14" s="1"/>
  <c r="P1010" i="14"/>
  <c r="K1011" i="14"/>
  <c r="O1011" i="14"/>
  <c r="P1011" i="14"/>
  <c r="I1012" i="14"/>
  <c r="O1012" i="14" s="1"/>
  <c r="P1012" i="14"/>
  <c r="I1013" i="14"/>
  <c r="K1013" i="14" s="1"/>
  <c r="P1013" i="14"/>
  <c r="I1015" i="14"/>
  <c r="P1015" i="14"/>
  <c r="I1016" i="14"/>
  <c r="O1016" i="14" s="1"/>
  <c r="P1016" i="14"/>
  <c r="J1017" i="14"/>
  <c r="K1018" i="14"/>
  <c r="O1018" i="14"/>
  <c r="P1018" i="14"/>
  <c r="K1019" i="14"/>
  <c r="O1019" i="14"/>
  <c r="P1019" i="14"/>
  <c r="I1020" i="14"/>
  <c r="P1020" i="14"/>
  <c r="K1021" i="14"/>
  <c r="O1021" i="14"/>
  <c r="P1021" i="14"/>
  <c r="I1022" i="14"/>
  <c r="P1022" i="14"/>
  <c r="I1024" i="14"/>
  <c r="K1024" i="14" s="1"/>
  <c r="P1024" i="14"/>
  <c r="K1025" i="14"/>
  <c r="O1025" i="14"/>
  <c r="P1025" i="14"/>
  <c r="J1026" i="14"/>
  <c r="J1023" i="14" s="1"/>
  <c r="P1023" i="14" s="1"/>
  <c r="I1027" i="14"/>
  <c r="P1027" i="14"/>
  <c r="I1028" i="14"/>
  <c r="K1028" i="14" s="1"/>
  <c r="P1028" i="14"/>
  <c r="K1029" i="14"/>
  <c r="O1029" i="14"/>
  <c r="P1029" i="14"/>
  <c r="I1030" i="14"/>
  <c r="K1030" i="14" s="1"/>
  <c r="P1030" i="14"/>
  <c r="I1031" i="14"/>
  <c r="K1031" i="14" s="1"/>
  <c r="P1031" i="14"/>
  <c r="I1033" i="14"/>
  <c r="O1033" i="14" s="1"/>
  <c r="P1033" i="14"/>
  <c r="I1034" i="14"/>
  <c r="O1034" i="14" s="1"/>
  <c r="P1034" i="14"/>
  <c r="J1035" i="14"/>
  <c r="I1036" i="14"/>
  <c r="P1036" i="14"/>
  <c r="I1037" i="14"/>
  <c r="O1037" i="14" s="1"/>
  <c r="P1037" i="14"/>
  <c r="I1038" i="14"/>
  <c r="O1038" i="14" s="1"/>
  <c r="P1038" i="14"/>
  <c r="I1039" i="14"/>
  <c r="K1039" i="14" s="1"/>
  <c r="P1039" i="14"/>
  <c r="I1040" i="14"/>
  <c r="O1040" i="14" s="1"/>
  <c r="P1040" i="14"/>
  <c r="I1041" i="14"/>
  <c r="O1041" i="14" s="1"/>
  <c r="P1041" i="14"/>
  <c r="I1042" i="14"/>
  <c r="K1042" i="14" s="1"/>
  <c r="P1042" i="14"/>
  <c r="L1044" i="14"/>
  <c r="M1044" i="14"/>
  <c r="N1045" i="14"/>
  <c r="O1045" i="14"/>
  <c r="P1045" i="14"/>
  <c r="L1046" i="14"/>
  <c r="M1046" i="14"/>
  <c r="P1046" i="14" s="1"/>
  <c r="N1047" i="14"/>
  <c r="O1047" i="14"/>
  <c r="P1047" i="14"/>
  <c r="I1049" i="14"/>
  <c r="O1049" i="14" s="1"/>
  <c r="J1049" i="14"/>
  <c r="K1050" i="14"/>
  <c r="O1050" i="14"/>
  <c r="P1050" i="14"/>
  <c r="J1051" i="14"/>
  <c r="P1051" i="14" s="1"/>
  <c r="I1052" i="14"/>
  <c r="K1052" i="14" s="1"/>
  <c r="P1052" i="14"/>
  <c r="I1053" i="14"/>
  <c r="O1053" i="14" s="1"/>
  <c r="P1053" i="14"/>
  <c r="I1054" i="14"/>
  <c r="K1054" i="14" s="1"/>
  <c r="P1054" i="14"/>
  <c r="I1055" i="14"/>
  <c r="O1055" i="14" s="1"/>
  <c r="P1055" i="14"/>
  <c r="I1056" i="14"/>
  <c r="O1056" i="14" s="1"/>
  <c r="P1056" i="14"/>
  <c r="I1057" i="14"/>
  <c r="P1057" i="14"/>
  <c r="I1060" i="14"/>
  <c r="O1060" i="14" s="1"/>
  <c r="P1060" i="14"/>
  <c r="I1061" i="14"/>
  <c r="K1061" i="14" s="1"/>
  <c r="P1061" i="14"/>
  <c r="J1062" i="14"/>
  <c r="P1062" i="14" s="1"/>
  <c r="I1063" i="14"/>
  <c r="K1063" i="14" s="1"/>
  <c r="P1063" i="14"/>
  <c r="I1064" i="14"/>
  <c r="O1064" i="14" s="1"/>
  <c r="P1064" i="14"/>
  <c r="I1065" i="14"/>
  <c r="O1065" i="14" s="1"/>
  <c r="P1065" i="14"/>
  <c r="I1066" i="14"/>
  <c r="P1066" i="14"/>
  <c r="L1068" i="14"/>
  <c r="O1068" i="14" s="1"/>
  <c r="M1068" i="14"/>
  <c r="M1067" i="14" s="1"/>
  <c r="N1069" i="14"/>
  <c r="O1069" i="14"/>
  <c r="P1069" i="14"/>
  <c r="I1071" i="14"/>
  <c r="P1071" i="14"/>
  <c r="I1072" i="14"/>
  <c r="K1072" i="14" s="1"/>
  <c r="P1072" i="14"/>
  <c r="J1073" i="14"/>
  <c r="I1074" i="14"/>
  <c r="K1074" i="14" s="1"/>
  <c r="P1074" i="14"/>
  <c r="I1075" i="14"/>
  <c r="O1075" i="14" s="1"/>
  <c r="P1075" i="14"/>
  <c r="I1076" i="14"/>
  <c r="K1076" i="14" s="1"/>
  <c r="P1076" i="14"/>
  <c r="I1077" i="14"/>
  <c r="P1077" i="14"/>
  <c r="I1079" i="14"/>
  <c r="O1079" i="14" s="1"/>
  <c r="P1079" i="14"/>
  <c r="I1080" i="14"/>
  <c r="K1080" i="14" s="1"/>
  <c r="P1080" i="14"/>
  <c r="J1081" i="14"/>
  <c r="I1082" i="14"/>
  <c r="K1082" i="14" s="1"/>
  <c r="P1082" i="14"/>
  <c r="I1083" i="14"/>
  <c r="K1083" i="14" s="1"/>
  <c r="P1083" i="14"/>
  <c r="I1084" i="14"/>
  <c r="K1084" i="14" s="1"/>
  <c r="P1084" i="14"/>
  <c r="I1085" i="14"/>
  <c r="P1085" i="14"/>
  <c r="L1087" i="14"/>
  <c r="O1087" i="14" s="1"/>
  <c r="M1087" i="14"/>
  <c r="P1087" i="14" s="1"/>
  <c r="N1088" i="14"/>
  <c r="O1088" i="14"/>
  <c r="P1088" i="14"/>
  <c r="I1090" i="14"/>
  <c r="P1090" i="14"/>
  <c r="I1091" i="14"/>
  <c r="P1091" i="14"/>
  <c r="J1092" i="14"/>
  <c r="J1089" i="14" s="1"/>
  <c r="I1093" i="14"/>
  <c r="K1093" i="14" s="1"/>
  <c r="P1093" i="14"/>
  <c r="I1094" i="14"/>
  <c r="P1094" i="14"/>
  <c r="I1095" i="14"/>
  <c r="O1095" i="14" s="1"/>
  <c r="P1095" i="14"/>
  <c r="I1096" i="14"/>
  <c r="O1096" i="14" s="1"/>
  <c r="P1096" i="14"/>
  <c r="L1098" i="14"/>
  <c r="O1098" i="14" s="1"/>
  <c r="M1098" i="14"/>
  <c r="M1097" i="14" s="1"/>
  <c r="M1089" i="14" s="1"/>
  <c r="N1099" i="14"/>
  <c r="O1099" i="14"/>
  <c r="P1099" i="14"/>
  <c r="I1101" i="14"/>
  <c r="K1101" i="14" s="1"/>
  <c r="P1101" i="14"/>
  <c r="K1102" i="14"/>
  <c r="O1102" i="14"/>
  <c r="P1102" i="14"/>
  <c r="J1103" i="14"/>
  <c r="I1104" i="14"/>
  <c r="K1104" i="14" s="1"/>
  <c r="P1104" i="14"/>
  <c r="I1105" i="14"/>
  <c r="O1105" i="14" s="1"/>
  <c r="P1105" i="14"/>
  <c r="I1106" i="14"/>
  <c r="O1106" i="14" s="1"/>
  <c r="P1106" i="14"/>
  <c r="K1107" i="14"/>
  <c r="O1107" i="14"/>
  <c r="P1107" i="14"/>
  <c r="I1109" i="14"/>
  <c r="O1109" i="14" s="1"/>
  <c r="P1109" i="14"/>
  <c r="I1110" i="14"/>
  <c r="K1110" i="14" s="1"/>
  <c r="P1110" i="14"/>
  <c r="J1111" i="14"/>
  <c r="P1111" i="14" s="1"/>
  <c r="I1112" i="14"/>
  <c r="O1112" i="14" s="1"/>
  <c r="P1112" i="14"/>
  <c r="I1113" i="14"/>
  <c r="K1113" i="14" s="1"/>
  <c r="P1113" i="14"/>
  <c r="I1114" i="14"/>
  <c r="K1114" i="14" s="1"/>
  <c r="P1114" i="14"/>
  <c r="I1115" i="14"/>
  <c r="O1115" i="14" s="1"/>
  <c r="P1115" i="14"/>
  <c r="L1117" i="14"/>
  <c r="L1116" i="14" s="1"/>
  <c r="O1116" i="14" s="1"/>
  <c r="M1117" i="14"/>
  <c r="N1118" i="14"/>
  <c r="O1118" i="14"/>
  <c r="P1118" i="14"/>
  <c r="I1120" i="14"/>
  <c r="P1120" i="14"/>
  <c r="I1121" i="14"/>
  <c r="P1121" i="14"/>
  <c r="J1122" i="14"/>
  <c r="J1119" i="14" s="1"/>
  <c r="P1119" i="14" s="1"/>
  <c r="I1123" i="14"/>
  <c r="O1123" i="14" s="1"/>
  <c r="P1123" i="14"/>
  <c r="I1124" i="14"/>
  <c r="P1124" i="14"/>
  <c r="I1125" i="14"/>
  <c r="P1125" i="14"/>
  <c r="I1126" i="14"/>
  <c r="K1126" i="14" s="1"/>
  <c r="P1126" i="14"/>
  <c r="I1128" i="14"/>
  <c r="K1128" i="14" s="1"/>
  <c r="P1128" i="14"/>
  <c r="I1129" i="14"/>
  <c r="K1129" i="14" s="1"/>
  <c r="P1129" i="14"/>
  <c r="J1130" i="14"/>
  <c r="P1130" i="14" s="1"/>
  <c r="I1131" i="14"/>
  <c r="P1131" i="14"/>
  <c r="I1132" i="14"/>
  <c r="O1132" i="14" s="1"/>
  <c r="P1132" i="14"/>
  <c r="I1133" i="14"/>
  <c r="P1133" i="14"/>
  <c r="K1134" i="14"/>
  <c r="O1134" i="14"/>
  <c r="P1134" i="14"/>
  <c r="I1136" i="14"/>
  <c r="P1136" i="14"/>
  <c r="I1137" i="14"/>
  <c r="O1137" i="14" s="1"/>
  <c r="P1137" i="14"/>
  <c r="J1138" i="14"/>
  <c r="I1139" i="14"/>
  <c r="O1139" i="14" s="1"/>
  <c r="P1139" i="14"/>
  <c r="I1140" i="14"/>
  <c r="K1140" i="14" s="1"/>
  <c r="P1140" i="14"/>
  <c r="I1141" i="14"/>
  <c r="P1141" i="14"/>
  <c r="I1142" i="14"/>
  <c r="O1142" i="14" s="1"/>
  <c r="P1142" i="14"/>
  <c r="I1144" i="14"/>
  <c r="K1144" i="14" s="1"/>
  <c r="P1144" i="14"/>
  <c r="I1145" i="14"/>
  <c r="K1145" i="14" s="1"/>
  <c r="P1145" i="14"/>
  <c r="J1146" i="14"/>
  <c r="P1146" i="14" s="1"/>
  <c r="I1147" i="14"/>
  <c r="K1147" i="14" s="1"/>
  <c r="P1147" i="14"/>
  <c r="I1148" i="14"/>
  <c r="O1148" i="14" s="1"/>
  <c r="P1148" i="14"/>
  <c r="I1149" i="14"/>
  <c r="P1149" i="14"/>
  <c r="I1150" i="14"/>
  <c r="P1150" i="14"/>
  <c r="I1152" i="14"/>
  <c r="K1152" i="14" s="1"/>
  <c r="P1152" i="14"/>
  <c r="I1153" i="14"/>
  <c r="P1153" i="14"/>
  <c r="J1154" i="14"/>
  <c r="P1154" i="14" s="1"/>
  <c r="I1155" i="14"/>
  <c r="O1155" i="14" s="1"/>
  <c r="P1155" i="14"/>
  <c r="I1156" i="14"/>
  <c r="P1156" i="14"/>
  <c r="I1157" i="14"/>
  <c r="P1157" i="14"/>
  <c r="I1158" i="14"/>
  <c r="O1158" i="14" s="1"/>
  <c r="P1158" i="14"/>
  <c r="I1160" i="14"/>
  <c r="P1160" i="14"/>
  <c r="I1161" i="14"/>
  <c r="K1161" i="14" s="1"/>
  <c r="P1161" i="14"/>
  <c r="J1162" i="14"/>
  <c r="J1159" i="14" s="1"/>
  <c r="P1159" i="14" s="1"/>
  <c r="I1163" i="14"/>
  <c r="O1163" i="14" s="1"/>
  <c r="P1163" i="14"/>
  <c r="I1164" i="14"/>
  <c r="O1164" i="14" s="1"/>
  <c r="P1164" i="14"/>
  <c r="I1165" i="14"/>
  <c r="K1165" i="14" s="1"/>
  <c r="P1165" i="14"/>
  <c r="I1166" i="14"/>
  <c r="O1166" i="14" s="1"/>
  <c r="P1166" i="14"/>
  <c r="I1168" i="14"/>
  <c r="P1168" i="14"/>
  <c r="K1169" i="14"/>
  <c r="O1169" i="14"/>
  <c r="P1169" i="14"/>
  <c r="J1170" i="14"/>
  <c r="I1171" i="14"/>
  <c r="K1171" i="14" s="1"/>
  <c r="P1171" i="14"/>
  <c r="I1172" i="14"/>
  <c r="K1172" i="14" s="1"/>
  <c r="P1172" i="14"/>
  <c r="I1173" i="14"/>
  <c r="O1173" i="14" s="1"/>
  <c r="P1173" i="14"/>
  <c r="I1174" i="14"/>
  <c r="K1174" i="14" s="1"/>
  <c r="P1174" i="14"/>
  <c r="I1176" i="14"/>
  <c r="P1176" i="14"/>
  <c r="K1177" i="14"/>
  <c r="O1177" i="14"/>
  <c r="P1177" i="14"/>
  <c r="J1178" i="14"/>
  <c r="P1178" i="14" s="1"/>
  <c r="K1179" i="14"/>
  <c r="O1179" i="14"/>
  <c r="P1179" i="14"/>
  <c r="I1180" i="14"/>
  <c r="K1180" i="14" s="1"/>
  <c r="P1180" i="14"/>
  <c r="I1181" i="14"/>
  <c r="K1181" i="14" s="1"/>
  <c r="P1181" i="14"/>
  <c r="I1182" i="14"/>
  <c r="K1182" i="14" s="1"/>
  <c r="P1182" i="14"/>
  <c r="I1183" i="14"/>
  <c r="P1183" i="14"/>
  <c r="I1185" i="14"/>
  <c r="P1185" i="14"/>
  <c r="I1186" i="14"/>
  <c r="K1186" i="14" s="1"/>
  <c r="P1186" i="14"/>
  <c r="J1187" i="14"/>
  <c r="P1187" i="14" s="1"/>
  <c r="I1188" i="14"/>
  <c r="K1188" i="14" s="1"/>
  <c r="P1188" i="14"/>
  <c r="I1189" i="14"/>
  <c r="P1189" i="14"/>
  <c r="I1190" i="14"/>
  <c r="K1190" i="14" s="1"/>
  <c r="P1190" i="14"/>
  <c r="I1191" i="14"/>
  <c r="P1191" i="14"/>
  <c r="I1192" i="14"/>
  <c r="P1192" i="14"/>
  <c r="I1193" i="14"/>
  <c r="P1193" i="14"/>
  <c r="I1194" i="14"/>
  <c r="O1194" i="14" s="1"/>
  <c r="P1194" i="14"/>
  <c r="J1195" i="14"/>
  <c r="P1195" i="14" s="1"/>
  <c r="I1196" i="14"/>
  <c r="O1196" i="14" s="1"/>
  <c r="P1196" i="14"/>
  <c r="I1197" i="14"/>
  <c r="K1197" i="14" s="1"/>
  <c r="P1197" i="14"/>
  <c r="I1198" i="14"/>
  <c r="O1198" i="14" s="1"/>
  <c r="P1198" i="14"/>
  <c r="I1199" i="14"/>
  <c r="K1199" i="14" s="1"/>
  <c r="P1199" i="14"/>
  <c r="I1200" i="14"/>
  <c r="P1200" i="14"/>
  <c r="I1201" i="14"/>
  <c r="K1201" i="14" s="1"/>
  <c r="P1201" i="14"/>
  <c r="L1203" i="14"/>
  <c r="O1203" i="14" s="1"/>
  <c r="M1203" i="14"/>
  <c r="P1203" i="14" s="1"/>
  <c r="N1204" i="14"/>
  <c r="O1204" i="14"/>
  <c r="P1204" i="14"/>
  <c r="I1206" i="14"/>
  <c r="O1206" i="14" s="1"/>
  <c r="P1206" i="14"/>
  <c r="I1207" i="14"/>
  <c r="K1207" i="14" s="1"/>
  <c r="P1207" i="14"/>
  <c r="J1208" i="14"/>
  <c r="P1208" i="14" s="1"/>
  <c r="I1209" i="14"/>
  <c r="O1209" i="14" s="1"/>
  <c r="P1209" i="14"/>
  <c r="I1210" i="14"/>
  <c r="K1210" i="14" s="1"/>
  <c r="P1210" i="14"/>
  <c r="I1211" i="14"/>
  <c r="K1211" i="14" s="1"/>
  <c r="P1211" i="14"/>
  <c r="I1212" i="14"/>
  <c r="P1212" i="14"/>
  <c r="I1213" i="14"/>
  <c r="O1213" i="14" s="1"/>
  <c r="P1213" i="14"/>
  <c r="I1214" i="14"/>
  <c r="K1214" i="14" s="1"/>
  <c r="P1214" i="14"/>
  <c r="J1215" i="14"/>
  <c r="K1216" i="14"/>
  <c r="O1216" i="14"/>
  <c r="P1216" i="14"/>
  <c r="I1217" i="14"/>
  <c r="K1217" i="14" s="1"/>
  <c r="P1217" i="14"/>
  <c r="K1218" i="14"/>
  <c r="O1218" i="14"/>
  <c r="P1218" i="14"/>
  <c r="I1219" i="14"/>
  <c r="K1219" i="14" s="1"/>
  <c r="P1219" i="14"/>
  <c r="K1220" i="14"/>
  <c r="O1220" i="14"/>
  <c r="P1220" i="14"/>
  <c r="N1223" i="14"/>
  <c r="O1223" i="14"/>
  <c r="P1223" i="14"/>
  <c r="I1225" i="14"/>
  <c r="O1225" i="14" s="1"/>
  <c r="P1225" i="14"/>
  <c r="I1226" i="14"/>
  <c r="O1226" i="14" s="1"/>
  <c r="P1226" i="14"/>
  <c r="J1227" i="14"/>
  <c r="I1228" i="14"/>
  <c r="P1228" i="14"/>
  <c r="I1229" i="14"/>
  <c r="P1229" i="14"/>
  <c r="K1230" i="14"/>
  <c r="O1230" i="14"/>
  <c r="P1230" i="14"/>
  <c r="K1231" i="14"/>
  <c r="O1231" i="14"/>
  <c r="P1231" i="14"/>
  <c r="I1232" i="14"/>
  <c r="P1232" i="14"/>
  <c r="I1233" i="14"/>
  <c r="K1233" i="14" s="1"/>
  <c r="P1233" i="14"/>
  <c r="K1234" i="14"/>
  <c r="O1234" i="14"/>
  <c r="P1234" i="14"/>
  <c r="J1235" i="14"/>
  <c r="I1236" i="14"/>
  <c r="P1236" i="14"/>
  <c r="I1237" i="14"/>
  <c r="K1237" i="14" s="1"/>
  <c r="P1237" i="14"/>
  <c r="K1238" i="14"/>
  <c r="O1238" i="14"/>
  <c r="P1238" i="14"/>
  <c r="I1239" i="14"/>
  <c r="K1239" i="14" s="1"/>
  <c r="P1239" i="14"/>
  <c r="I1240" i="14"/>
  <c r="K1240" i="14" s="1"/>
  <c r="P1240" i="14"/>
  <c r="M1242" i="14"/>
  <c r="M1241" i="14" s="1"/>
  <c r="P1241" i="14" s="1"/>
  <c r="N1243" i="14"/>
  <c r="O1243" i="14"/>
  <c r="P1243" i="14"/>
  <c r="L1244" i="14"/>
  <c r="O1244" i="14" s="1"/>
  <c r="P1244" i="14"/>
  <c r="J1246" i="14"/>
  <c r="I1247" i="14"/>
  <c r="K1247" i="14" s="1"/>
  <c r="P1247" i="14"/>
  <c r="I1248" i="14"/>
  <c r="P1248" i="14"/>
  <c r="I1249" i="14"/>
  <c r="K1249" i="14" s="1"/>
  <c r="P1249" i="14"/>
  <c r="J1250" i="14"/>
  <c r="I1251" i="14"/>
  <c r="P1251" i="14"/>
  <c r="I1252" i="14"/>
  <c r="P1252" i="14"/>
  <c r="K1253" i="14"/>
  <c r="O1253" i="14"/>
  <c r="P1253" i="14"/>
  <c r="K1254" i="14"/>
  <c r="O1254" i="14"/>
  <c r="P1254" i="14"/>
  <c r="I1255" i="14"/>
  <c r="K1255" i="14" s="1"/>
  <c r="P1255" i="14"/>
  <c r="I1256" i="14"/>
  <c r="P1256" i="14"/>
  <c r="I1257" i="14"/>
  <c r="K1257" i="14" s="1"/>
  <c r="P1257" i="14"/>
  <c r="J1258" i="14"/>
  <c r="P1258" i="14" s="1"/>
  <c r="I1259" i="14"/>
  <c r="K1259" i="14" s="1"/>
  <c r="P1259" i="14"/>
  <c r="I1260" i="14"/>
  <c r="P1260" i="14"/>
  <c r="I1261" i="14"/>
  <c r="K1261" i="14" s="1"/>
  <c r="P1261" i="14"/>
  <c r="I1262" i="14"/>
  <c r="K1262" i="14" s="1"/>
  <c r="P1262" i="14"/>
  <c r="I1263" i="14"/>
  <c r="P1263" i="14"/>
  <c r="L1265" i="14"/>
  <c r="M1265" i="14"/>
  <c r="N1266" i="14"/>
  <c r="O1266" i="14"/>
  <c r="P1266" i="14"/>
  <c r="N1267" i="14"/>
  <c r="O1267" i="14"/>
  <c r="P1267" i="14"/>
  <c r="N1268" i="14"/>
  <c r="O1268" i="14"/>
  <c r="P1268" i="14"/>
  <c r="I1270" i="14"/>
  <c r="O1270" i="14" s="1"/>
  <c r="P1270" i="14"/>
  <c r="I1271" i="14"/>
  <c r="K1271" i="14" s="1"/>
  <c r="P1271" i="14"/>
  <c r="J1272" i="14"/>
  <c r="I1273" i="14"/>
  <c r="O1273" i="14" s="1"/>
  <c r="P1273" i="14"/>
  <c r="I1274" i="14"/>
  <c r="P1274" i="14"/>
  <c r="I1275" i="14"/>
  <c r="K1275" i="14" s="1"/>
  <c r="P1275" i="14"/>
  <c r="I1276" i="14"/>
  <c r="P1276" i="14"/>
  <c r="I1277" i="14"/>
  <c r="K1277" i="14" s="1"/>
  <c r="P1277" i="14"/>
  <c r="I1278" i="14"/>
  <c r="P1278" i="14"/>
  <c r="I1279" i="14"/>
  <c r="K1279" i="14" s="1"/>
  <c r="P1279" i="14"/>
  <c r="J1280" i="14"/>
  <c r="P1280" i="14" s="1"/>
  <c r="I1281" i="14"/>
  <c r="P1281" i="14"/>
  <c r="I1282" i="14"/>
  <c r="K1282" i="14" s="1"/>
  <c r="P1282" i="14"/>
  <c r="I1283" i="14"/>
  <c r="K1283" i="14" s="1"/>
  <c r="P1283" i="14"/>
  <c r="I1284" i="14"/>
  <c r="K1284" i="14" s="1"/>
  <c r="P1284" i="14"/>
  <c r="I1285" i="14"/>
  <c r="P1285" i="14"/>
  <c r="M1287" i="14"/>
  <c r="L1288" i="14"/>
  <c r="P1288" i="14"/>
  <c r="N1289" i="14"/>
  <c r="O1289" i="14"/>
  <c r="P1289" i="14"/>
  <c r="K1291" i="14"/>
  <c r="O1291" i="14"/>
  <c r="P1291" i="14"/>
  <c r="K1292" i="14"/>
  <c r="O1292" i="14"/>
  <c r="P1292" i="14"/>
  <c r="J1293" i="14"/>
  <c r="I1294" i="14"/>
  <c r="K1294" i="14" s="1"/>
  <c r="P1294" i="14"/>
  <c r="K1295" i="14"/>
  <c r="O1295" i="14"/>
  <c r="P1295" i="14"/>
  <c r="I1296" i="14"/>
  <c r="K1296" i="14" s="1"/>
  <c r="P1296" i="14"/>
  <c r="I1297" i="14"/>
  <c r="K1297" i="14" s="1"/>
  <c r="P1297" i="14"/>
  <c r="K1298" i="14"/>
  <c r="O1298" i="14"/>
  <c r="P1298" i="14"/>
  <c r="K1299" i="14"/>
  <c r="O1299" i="14"/>
  <c r="P1299" i="14"/>
  <c r="I1300" i="14"/>
  <c r="O1300" i="14" s="1"/>
  <c r="P1300" i="14"/>
  <c r="J1301" i="14"/>
  <c r="P1301" i="14" s="1"/>
  <c r="K1302" i="14"/>
  <c r="O1302" i="14"/>
  <c r="P1302" i="14"/>
  <c r="I1303" i="14"/>
  <c r="K1303" i="14" s="1"/>
  <c r="P1303" i="14"/>
  <c r="I1304" i="14"/>
  <c r="P1304" i="14"/>
  <c r="I1305" i="14"/>
  <c r="O1305" i="14" s="1"/>
  <c r="P1305" i="14"/>
  <c r="I1306" i="14"/>
  <c r="K1306" i="14" s="1"/>
  <c r="P1306" i="14"/>
  <c r="I1307" i="14"/>
  <c r="K1307" i="14" s="1"/>
  <c r="P1307" i="14"/>
  <c r="L1309" i="14"/>
  <c r="O1309" i="14" s="1"/>
  <c r="M1309" i="14"/>
  <c r="N1310" i="14"/>
  <c r="O1310" i="14"/>
  <c r="P1310" i="14"/>
  <c r="J1312" i="14"/>
  <c r="P1312" i="14" s="1"/>
  <c r="I1313" i="14"/>
  <c r="P1313" i="14"/>
  <c r="K1314" i="14"/>
  <c r="O1314" i="14"/>
  <c r="P1314" i="14"/>
  <c r="I1315" i="14"/>
  <c r="K1315" i="14" s="1"/>
  <c r="P1315" i="14"/>
  <c r="K1316" i="14"/>
  <c r="O1316" i="14"/>
  <c r="P1316" i="14"/>
  <c r="J1317" i="14"/>
  <c r="I1318" i="14"/>
  <c r="O1318" i="14" s="1"/>
  <c r="P1318" i="14"/>
  <c r="I1319" i="14"/>
  <c r="O1319" i="14" s="1"/>
  <c r="P1319" i="14"/>
  <c r="I1320" i="14"/>
  <c r="K1320" i="14" s="1"/>
  <c r="P1320" i="14"/>
  <c r="I1321" i="14"/>
  <c r="P1321" i="14"/>
  <c r="I1322" i="14"/>
  <c r="K1322" i="14" s="1"/>
  <c r="P1322" i="14"/>
  <c r="L1331" i="14"/>
  <c r="O1331" i="14" s="1"/>
  <c r="M1331" i="14"/>
  <c r="M1330" i="14" s="1"/>
  <c r="N1332" i="14"/>
  <c r="O1332" i="14"/>
  <c r="P1332" i="14"/>
  <c r="I1323" i="14"/>
  <c r="K1323" i="14" s="1"/>
  <c r="P1323" i="14"/>
  <c r="K1324" i="14"/>
  <c r="O1324" i="14"/>
  <c r="P1324" i="14"/>
  <c r="J1325" i="14"/>
  <c r="I1326" i="14"/>
  <c r="K1326" i="14" s="1"/>
  <c r="P1326" i="14"/>
  <c r="I1327" i="14"/>
  <c r="K1327" i="14" s="1"/>
  <c r="P1327" i="14"/>
  <c r="I1328" i="14"/>
  <c r="P1328" i="14"/>
  <c r="I1329" i="14"/>
  <c r="K1329" i="14" s="1"/>
  <c r="P1329" i="14"/>
  <c r="I1336" i="14"/>
  <c r="J1336" i="14"/>
  <c r="J1335" i="14" s="1"/>
  <c r="I1338" i="14"/>
  <c r="P1338" i="14"/>
  <c r="I1339" i="14"/>
  <c r="P1339" i="14"/>
  <c r="I1341" i="14"/>
  <c r="K1341" i="14" s="1"/>
  <c r="P1341" i="14"/>
  <c r="I1342" i="14"/>
  <c r="O1342" i="14" s="1"/>
  <c r="J1342" i="14"/>
  <c r="J1343" i="14"/>
  <c r="K1343" i="14" s="1"/>
  <c r="O1343" i="14"/>
  <c r="I1345" i="14"/>
  <c r="I1344" i="14" s="1"/>
  <c r="O1344" i="14" s="1"/>
  <c r="J1346" i="14"/>
  <c r="P1346" i="14" s="1"/>
  <c r="O1346" i="14"/>
  <c r="J1347" i="14"/>
  <c r="O1347" i="14"/>
  <c r="K1348" i="14"/>
  <c r="O1348" i="14"/>
  <c r="P1348" i="14"/>
  <c r="J1350" i="14"/>
  <c r="P1350" i="14" s="1"/>
  <c r="I1351" i="14"/>
  <c r="I1350" i="14" s="1"/>
  <c r="I1349" i="14" s="1"/>
  <c r="O1349" i="14" s="1"/>
  <c r="P1351" i="14"/>
  <c r="B372" i="14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I373" i="14"/>
  <c r="O373" i="14" s="1"/>
  <c r="J373" i="14"/>
  <c r="P373" i="14" s="1"/>
  <c r="K374" i="14"/>
  <c r="O374" i="14"/>
  <c r="P374" i="14"/>
  <c r="K375" i="14"/>
  <c r="O375" i="14"/>
  <c r="P375" i="14"/>
  <c r="J376" i="14"/>
  <c r="P376" i="14" s="1"/>
  <c r="K377" i="14"/>
  <c r="O377" i="14"/>
  <c r="P377" i="14"/>
  <c r="I378" i="14"/>
  <c r="P378" i="14"/>
  <c r="K379" i="14"/>
  <c r="O379" i="14"/>
  <c r="P379" i="14"/>
  <c r="J382" i="14"/>
  <c r="I383" i="14"/>
  <c r="P383" i="14"/>
  <c r="L385" i="14"/>
  <c r="O385" i="14" s="1"/>
  <c r="M385" i="14"/>
  <c r="N386" i="14"/>
  <c r="O386" i="14"/>
  <c r="P386" i="14"/>
  <c r="M387" i="14"/>
  <c r="P387" i="14" s="1"/>
  <c r="L388" i="14"/>
  <c r="P388" i="14"/>
  <c r="K390" i="14"/>
  <c r="O390" i="14"/>
  <c r="P390" i="14"/>
  <c r="K391" i="14"/>
  <c r="O391" i="14"/>
  <c r="P391" i="14"/>
  <c r="J392" i="14"/>
  <c r="J389" i="14" s="1"/>
  <c r="K393" i="14"/>
  <c r="O393" i="14"/>
  <c r="P393" i="14"/>
  <c r="I394" i="14"/>
  <c r="O394" i="14" s="1"/>
  <c r="P394" i="14"/>
  <c r="I395" i="14"/>
  <c r="P395" i="14"/>
  <c r="I396" i="14"/>
  <c r="O396" i="14" s="1"/>
  <c r="P396" i="14"/>
  <c r="K397" i="14"/>
  <c r="O397" i="14"/>
  <c r="P397" i="14"/>
  <c r="I398" i="14"/>
  <c r="P398" i="14"/>
  <c r="I399" i="14"/>
  <c r="P399" i="14"/>
  <c r="L401" i="14"/>
  <c r="M401" i="14"/>
  <c r="P401" i="14" s="1"/>
  <c r="N402" i="14"/>
  <c r="O402" i="14"/>
  <c r="P402" i="14"/>
  <c r="J404" i="14"/>
  <c r="I405" i="14"/>
  <c r="K405" i="14" s="1"/>
  <c r="P405" i="14"/>
  <c r="I406" i="14"/>
  <c r="P406" i="14"/>
  <c r="I407" i="14"/>
  <c r="O407" i="14" s="1"/>
  <c r="P407" i="14"/>
  <c r="L409" i="14"/>
  <c r="O409" i="14" s="1"/>
  <c r="M409" i="14"/>
  <c r="P409" i="14" s="1"/>
  <c r="N410" i="14"/>
  <c r="O410" i="14"/>
  <c r="P410" i="14"/>
  <c r="L411" i="14"/>
  <c r="O411" i="14" s="1"/>
  <c r="M411" i="14"/>
  <c r="N412" i="14"/>
  <c r="O412" i="14"/>
  <c r="P412" i="14"/>
  <c r="M415" i="14"/>
  <c r="N416" i="14"/>
  <c r="O416" i="14"/>
  <c r="P416" i="14"/>
  <c r="N417" i="14"/>
  <c r="O417" i="14"/>
  <c r="P417" i="14"/>
  <c r="L418" i="14"/>
  <c r="N418" i="14" s="1"/>
  <c r="P418" i="14"/>
  <c r="L419" i="14"/>
  <c r="N419" i="14" s="1"/>
  <c r="P419" i="14"/>
  <c r="N420" i="14"/>
  <c r="O420" i="14"/>
  <c r="P420" i="14"/>
  <c r="N421" i="14"/>
  <c r="O421" i="14"/>
  <c r="P421" i="14"/>
  <c r="N422" i="14"/>
  <c r="O422" i="14"/>
  <c r="P422" i="14"/>
  <c r="N423" i="14"/>
  <c r="O423" i="14"/>
  <c r="P423" i="14"/>
  <c r="N424" i="14"/>
  <c r="O424" i="14"/>
  <c r="P424" i="14"/>
  <c r="N425" i="14"/>
  <c r="O425" i="14"/>
  <c r="P425" i="14"/>
  <c r="N426" i="14"/>
  <c r="O426" i="14"/>
  <c r="P426" i="14"/>
  <c r="N427" i="14"/>
  <c r="O427" i="14"/>
  <c r="P427" i="14"/>
  <c r="L428" i="14"/>
  <c r="O428" i="14" s="1"/>
  <c r="P428" i="14"/>
  <c r="L429" i="14"/>
  <c r="P429" i="14"/>
  <c r="N430" i="14"/>
  <c r="O430" i="14"/>
  <c r="P430" i="14"/>
  <c r="N431" i="14"/>
  <c r="O431" i="14"/>
  <c r="P431" i="14"/>
  <c r="N432" i="14"/>
  <c r="O432" i="14"/>
  <c r="P432" i="14"/>
  <c r="N433" i="14"/>
  <c r="O433" i="14"/>
  <c r="P433" i="14"/>
  <c r="N434" i="14"/>
  <c r="O434" i="14"/>
  <c r="P434" i="14"/>
  <c r="N435" i="14"/>
  <c r="O435" i="14"/>
  <c r="P435" i="14"/>
  <c r="L436" i="14"/>
  <c r="P436" i="14"/>
  <c r="N437" i="14"/>
  <c r="O437" i="14"/>
  <c r="P437" i="14"/>
  <c r="L438" i="14"/>
  <c r="P438" i="14"/>
  <c r="L439" i="14"/>
  <c r="N439" i="14" s="1"/>
  <c r="P439" i="14"/>
  <c r="N440" i="14"/>
  <c r="O440" i="14"/>
  <c r="P440" i="14"/>
  <c r="L441" i="14"/>
  <c r="P441" i="14"/>
  <c r="N442" i="14"/>
  <c r="O442" i="14"/>
  <c r="P442" i="14"/>
  <c r="N443" i="14"/>
  <c r="O443" i="14"/>
  <c r="P443" i="14"/>
  <c r="N444" i="14"/>
  <c r="O444" i="14"/>
  <c r="P444" i="14"/>
  <c r="N445" i="14"/>
  <c r="O445" i="14"/>
  <c r="P445" i="14"/>
  <c r="N446" i="14"/>
  <c r="O446" i="14"/>
  <c r="P446" i="14"/>
  <c r="N447" i="14"/>
  <c r="O447" i="14"/>
  <c r="P447" i="14"/>
  <c r="N448" i="14"/>
  <c r="O448" i="14"/>
  <c r="P448" i="14"/>
  <c r="N449" i="14"/>
  <c r="O449" i="14"/>
  <c r="P449" i="14"/>
  <c r="N450" i="14"/>
  <c r="O450" i="14"/>
  <c r="P450" i="14"/>
  <c r="N451" i="14"/>
  <c r="O451" i="14"/>
  <c r="P451" i="14"/>
  <c r="M452" i="14"/>
  <c r="N453" i="14"/>
  <c r="O453" i="14"/>
  <c r="P453" i="14"/>
  <c r="N454" i="14"/>
  <c r="O454" i="14"/>
  <c r="P454" i="14"/>
  <c r="N455" i="14"/>
  <c r="O455" i="14"/>
  <c r="P455" i="14"/>
  <c r="L456" i="14"/>
  <c r="P456" i="14"/>
  <c r="N457" i="14"/>
  <c r="O457" i="14"/>
  <c r="P457" i="14"/>
  <c r="L458" i="14"/>
  <c r="N458" i="14" s="1"/>
  <c r="P458" i="14"/>
  <c r="N459" i="14"/>
  <c r="O459" i="14"/>
  <c r="P459" i="14"/>
  <c r="L460" i="14"/>
  <c r="N460" i="14" s="1"/>
  <c r="P460" i="14"/>
  <c r="N461" i="14"/>
  <c r="O461" i="14"/>
  <c r="P461" i="14"/>
  <c r="L462" i="14"/>
  <c r="N462" i="14" s="1"/>
  <c r="P462" i="14"/>
  <c r="L463" i="14"/>
  <c r="P463" i="14"/>
  <c r="L464" i="14"/>
  <c r="P464" i="14"/>
  <c r="N465" i="14"/>
  <c r="O465" i="14"/>
  <c r="P465" i="14"/>
  <c r="N466" i="14"/>
  <c r="O466" i="14"/>
  <c r="P466" i="14"/>
  <c r="N467" i="14"/>
  <c r="O467" i="14"/>
  <c r="P467" i="14"/>
  <c r="L468" i="14"/>
  <c r="N468" i="14" s="1"/>
  <c r="P468" i="14"/>
  <c r="N469" i="14"/>
  <c r="O469" i="14"/>
  <c r="P469" i="14"/>
  <c r="L470" i="14"/>
  <c r="P470" i="14"/>
  <c r="N471" i="14"/>
  <c r="O471" i="14"/>
  <c r="P471" i="14"/>
  <c r="N472" i="14"/>
  <c r="O472" i="14"/>
  <c r="P472" i="14"/>
  <c r="L473" i="14"/>
  <c r="O473" i="14" s="1"/>
  <c r="P473" i="14"/>
  <c r="L474" i="14"/>
  <c r="N474" i="14" s="1"/>
  <c r="P474" i="14"/>
  <c r="L475" i="14"/>
  <c r="N475" i="14" s="1"/>
  <c r="P475" i="14"/>
  <c r="L476" i="14"/>
  <c r="P476" i="14"/>
  <c r="L477" i="14"/>
  <c r="P477" i="14"/>
  <c r="L478" i="14"/>
  <c r="P478" i="14"/>
  <c r="L479" i="14"/>
  <c r="N479" i="14" s="1"/>
  <c r="P479" i="14"/>
  <c r="N480" i="14"/>
  <c r="O480" i="14"/>
  <c r="P480" i="14"/>
  <c r="L481" i="14"/>
  <c r="P481" i="14"/>
  <c r="N482" i="14"/>
  <c r="O482" i="14"/>
  <c r="P482" i="14"/>
  <c r="N483" i="14"/>
  <c r="O483" i="14"/>
  <c r="P483" i="14"/>
  <c r="N484" i="14"/>
  <c r="O484" i="14"/>
  <c r="P484" i="14"/>
  <c r="L485" i="14"/>
  <c r="O485" i="14" s="1"/>
  <c r="M485" i="14"/>
  <c r="N486" i="14"/>
  <c r="O486" i="14"/>
  <c r="P486" i="14"/>
  <c r="B294" i="14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I295" i="14"/>
  <c r="K295" i="14" s="1"/>
  <c r="P295" i="14"/>
  <c r="I296" i="14"/>
  <c r="K296" i="14" s="1"/>
  <c r="P296" i="14"/>
  <c r="I298" i="14"/>
  <c r="P298" i="14"/>
  <c r="K299" i="14"/>
  <c r="O299" i="14"/>
  <c r="P299" i="14"/>
  <c r="I300" i="14"/>
  <c r="O300" i="14" s="1"/>
  <c r="P300" i="14"/>
  <c r="I301" i="14"/>
  <c r="P301" i="14"/>
  <c r="I302" i="14"/>
  <c r="K302" i="14" s="1"/>
  <c r="P302" i="14"/>
  <c r="K303" i="14"/>
  <c r="O303" i="14"/>
  <c r="P303" i="14"/>
  <c r="I304" i="14"/>
  <c r="O304" i="14" s="1"/>
  <c r="J304" i="14"/>
  <c r="P304" i="14" s="1"/>
  <c r="I305" i="14"/>
  <c r="K305" i="14" s="1"/>
  <c r="P305" i="14"/>
  <c r="L307" i="14"/>
  <c r="O307" i="14" s="1"/>
  <c r="M307" i="14"/>
  <c r="N308" i="14"/>
  <c r="O308" i="14"/>
  <c r="P308" i="14"/>
  <c r="L309" i="14"/>
  <c r="O309" i="14" s="1"/>
  <c r="M309" i="14"/>
  <c r="N310" i="14"/>
  <c r="O310" i="14"/>
  <c r="P310" i="14"/>
  <c r="M311" i="14"/>
  <c r="P311" i="14" s="1"/>
  <c r="L312" i="14"/>
  <c r="O312" i="14" s="1"/>
  <c r="P312" i="14"/>
  <c r="L315" i="14"/>
  <c r="O315" i="14" s="1"/>
  <c r="M315" i="14"/>
  <c r="N316" i="14"/>
  <c r="O316" i="14"/>
  <c r="P316" i="14"/>
  <c r="N317" i="14"/>
  <c r="O317" i="14"/>
  <c r="P317" i="14"/>
  <c r="N318" i="14"/>
  <c r="O318" i="14"/>
  <c r="P318" i="14"/>
  <c r="N319" i="14"/>
  <c r="O319" i="14"/>
  <c r="P319" i="14"/>
  <c r="N320" i="14"/>
  <c r="O320" i="14"/>
  <c r="P320" i="14"/>
  <c r="M321" i="14"/>
  <c r="P321" i="14" s="1"/>
  <c r="L322" i="14"/>
  <c r="P322" i="14"/>
  <c r="I324" i="14"/>
  <c r="P324" i="14"/>
  <c r="I325" i="14"/>
  <c r="P325" i="14"/>
  <c r="J326" i="14"/>
  <c r="I327" i="14"/>
  <c r="O327" i="14" s="1"/>
  <c r="P327" i="14"/>
  <c r="K328" i="14"/>
  <c r="O328" i="14"/>
  <c r="P328" i="14"/>
  <c r="K329" i="14"/>
  <c r="O329" i="14"/>
  <c r="P329" i="14"/>
  <c r="K330" i="14"/>
  <c r="O330" i="14"/>
  <c r="P330" i="14"/>
  <c r="I331" i="14"/>
  <c r="O331" i="14" s="1"/>
  <c r="P331" i="14"/>
  <c r="K332" i="14"/>
  <c r="O332" i="14"/>
  <c r="P332" i="14"/>
  <c r="L334" i="14"/>
  <c r="O334" i="14" s="1"/>
  <c r="M334" i="14"/>
  <c r="P334" i="14" s="1"/>
  <c r="N335" i="14"/>
  <c r="O335" i="14"/>
  <c r="P335" i="14"/>
  <c r="M336" i="14"/>
  <c r="P336" i="14" s="1"/>
  <c r="L337" i="14"/>
  <c r="L336" i="14" s="1"/>
  <c r="O336" i="14" s="1"/>
  <c r="P337" i="14"/>
  <c r="L338" i="14"/>
  <c r="O338" i="14" s="1"/>
  <c r="M338" i="14"/>
  <c r="N339" i="14"/>
  <c r="O339" i="14"/>
  <c r="P339" i="14"/>
  <c r="I341" i="14"/>
  <c r="O341" i="14" s="1"/>
  <c r="J341" i="14"/>
  <c r="K342" i="14"/>
  <c r="O342" i="14"/>
  <c r="P342" i="14"/>
  <c r="L344" i="14"/>
  <c r="L343" i="14" s="1"/>
  <c r="L340" i="14" s="1"/>
  <c r="M344" i="14"/>
  <c r="M343" i="14" s="1"/>
  <c r="M340" i="14" s="1"/>
  <c r="N345" i="14"/>
  <c r="O345" i="14"/>
  <c r="P345" i="14"/>
  <c r="J347" i="14"/>
  <c r="I348" i="14"/>
  <c r="P348" i="14"/>
  <c r="K349" i="14"/>
  <c r="O349" i="14"/>
  <c r="P349" i="14"/>
  <c r="I350" i="14"/>
  <c r="O350" i="14" s="1"/>
  <c r="P350" i="14"/>
  <c r="K352" i="14"/>
  <c r="O352" i="14"/>
  <c r="P352" i="14"/>
  <c r="J353" i="14"/>
  <c r="P353" i="14" s="1"/>
  <c r="I354" i="14"/>
  <c r="K354" i="14" s="1"/>
  <c r="P354" i="14"/>
  <c r="K355" i="14"/>
  <c r="O355" i="14"/>
  <c r="P355" i="14"/>
  <c r="I356" i="14"/>
  <c r="K356" i="14" s="1"/>
  <c r="P356" i="14"/>
  <c r="I357" i="14"/>
  <c r="O357" i="14" s="1"/>
  <c r="J357" i="14"/>
  <c r="P357" i="14" s="1"/>
  <c r="K358" i="14"/>
  <c r="O358" i="14"/>
  <c r="P358" i="14"/>
  <c r="K359" i="14"/>
  <c r="O359" i="14"/>
  <c r="P359" i="14"/>
  <c r="L361" i="14"/>
  <c r="M361" i="14"/>
  <c r="M360" i="14" s="1"/>
  <c r="N362" i="14"/>
  <c r="O362" i="14"/>
  <c r="P362" i="14"/>
  <c r="B214" i="14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K215" i="14"/>
  <c r="O215" i="14"/>
  <c r="P215" i="14"/>
  <c r="K216" i="14"/>
  <c r="O216" i="14"/>
  <c r="P216" i="14"/>
  <c r="J217" i="14"/>
  <c r="K218" i="14"/>
  <c r="O218" i="14"/>
  <c r="P218" i="14"/>
  <c r="I219" i="14"/>
  <c r="P219" i="14"/>
  <c r="I221" i="14"/>
  <c r="P221" i="14"/>
  <c r="I222" i="14"/>
  <c r="O222" i="14" s="1"/>
  <c r="P222" i="14"/>
  <c r="I224" i="14"/>
  <c r="O224" i="14" s="1"/>
  <c r="P224" i="14"/>
  <c r="I225" i="14"/>
  <c r="K225" i="14" s="1"/>
  <c r="P225" i="14"/>
  <c r="I226" i="14"/>
  <c r="K226" i="14" s="1"/>
  <c r="P226" i="14"/>
  <c r="K227" i="14"/>
  <c r="O227" i="14"/>
  <c r="P227" i="14"/>
  <c r="I228" i="14"/>
  <c r="O228" i="14" s="1"/>
  <c r="J228" i="14"/>
  <c r="J223" i="14" s="1"/>
  <c r="I229" i="14"/>
  <c r="O229" i="14" s="1"/>
  <c r="P229" i="14"/>
  <c r="K230" i="14"/>
  <c r="O230" i="14"/>
  <c r="P230" i="14"/>
  <c r="I232" i="14"/>
  <c r="P232" i="14"/>
  <c r="I233" i="14"/>
  <c r="O233" i="14" s="1"/>
  <c r="P233" i="14"/>
  <c r="J234" i="14"/>
  <c r="J231" i="14" s="1"/>
  <c r="P231" i="14" s="1"/>
  <c r="K235" i="14"/>
  <c r="O235" i="14"/>
  <c r="P235" i="14"/>
  <c r="K236" i="14"/>
  <c r="O236" i="14"/>
  <c r="P236" i="14"/>
  <c r="I237" i="14"/>
  <c r="P237" i="14"/>
  <c r="I238" i="14"/>
  <c r="K238" i="14" s="1"/>
  <c r="P238" i="14"/>
  <c r="K239" i="14"/>
  <c r="O239" i="14"/>
  <c r="P239" i="14"/>
  <c r="K242" i="14"/>
  <c r="O242" i="14"/>
  <c r="P242" i="14"/>
  <c r="K243" i="14"/>
  <c r="O243" i="14"/>
  <c r="P243" i="14"/>
  <c r="J244" i="14"/>
  <c r="I245" i="14"/>
  <c r="O245" i="14" s="1"/>
  <c r="P245" i="14"/>
  <c r="I246" i="14"/>
  <c r="K246" i="14" s="1"/>
  <c r="P246" i="14"/>
  <c r="I247" i="14"/>
  <c r="O247" i="14" s="1"/>
  <c r="P247" i="14"/>
  <c r="I248" i="14"/>
  <c r="K248" i="14" s="1"/>
  <c r="P248" i="14"/>
  <c r="I249" i="14"/>
  <c r="K249" i="14" s="1"/>
  <c r="P249" i="14"/>
  <c r="L251" i="14"/>
  <c r="M251" i="14"/>
  <c r="P251" i="14" s="1"/>
  <c r="N252" i="14"/>
  <c r="O252" i="14"/>
  <c r="P252" i="14"/>
  <c r="K255" i="14"/>
  <c r="O255" i="14"/>
  <c r="P255" i="14"/>
  <c r="K256" i="14"/>
  <c r="O256" i="14"/>
  <c r="P256" i="14"/>
  <c r="J257" i="14"/>
  <c r="P257" i="14" s="1"/>
  <c r="K258" i="14"/>
  <c r="O258" i="14"/>
  <c r="P258" i="14"/>
  <c r="I259" i="14"/>
  <c r="K259" i="14" s="1"/>
  <c r="P259" i="14"/>
  <c r="I260" i="14"/>
  <c r="K260" i="14" s="1"/>
  <c r="P260" i="14"/>
  <c r="I261" i="14"/>
  <c r="O261" i="14" s="1"/>
  <c r="P261" i="14"/>
  <c r="K262" i="14"/>
  <c r="O262" i="14"/>
  <c r="P262" i="14"/>
  <c r="I263" i="14"/>
  <c r="P263" i="14"/>
  <c r="J265" i="14"/>
  <c r="K266" i="14"/>
  <c r="O266" i="14"/>
  <c r="P266" i="14"/>
  <c r="K267" i="14"/>
  <c r="O267" i="14"/>
  <c r="P267" i="14"/>
  <c r="I268" i="14"/>
  <c r="O268" i="14" s="1"/>
  <c r="P268" i="14"/>
  <c r="I269" i="14"/>
  <c r="K269" i="14" s="1"/>
  <c r="P269" i="14"/>
  <c r="L271" i="14"/>
  <c r="M271" i="14"/>
  <c r="P271" i="14" s="1"/>
  <c r="N272" i="14"/>
  <c r="O272" i="14"/>
  <c r="P272" i="14"/>
  <c r="M273" i="14"/>
  <c r="N274" i="14"/>
  <c r="O274" i="14"/>
  <c r="P274" i="14"/>
  <c r="L275" i="14"/>
  <c r="N275" i="14" s="1"/>
  <c r="P275" i="14"/>
  <c r="N276" i="14"/>
  <c r="O276" i="14"/>
  <c r="P276" i="14"/>
  <c r="L277" i="14"/>
  <c r="P277" i="14"/>
  <c r="I280" i="14"/>
  <c r="O280" i="14" s="1"/>
  <c r="J280" i="14"/>
  <c r="P280" i="14" s="1"/>
  <c r="K281" i="14"/>
  <c r="O281" i="14"/>
  <c r="P281" i="14"/>
  <c r="K282" i="14"/>
  <c r="O282" i="14"/>
  <c r="P282" i="14"/>
  <c r="K283" i="14"/>
  <c r="O283" i="14"/>
  <c r="P283" i="14"/>
  <c r="K284" i="14"/>
  <c r="O284" i="14"/>
  <c r="P284" i="14"/>
  <c r="B109" i="14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J110" i="14"/>
  <c r="P110" i="14" s="1"/>
  <c r="I111" i="14"/>
  <c r="I110" i="14" s="1"/>
  <c r="O110" i="14" s="1"/>
  <c r="P111" i="14"/>
  <c r="J114" i="14"/>
  <c r="J113" i="14" s="1"/>
  <c r="I115" i="14"/>
  <c r="I114" i="14" s="1"/>
  <c r="P115" i="14"/>
  <c r="I117" i="14"/>
  <c r="I116" i="14" s="1"/>
  <c r="J117" i="14"/>
  <c r="K118" i="14"/>
  <c r="O118" i="14"/>
  <c r="P118" i="14"/>
  <c r="K119" i="14"/>
  <c r="O119" i="14"/>
  <c r="P119" i="14"/>
  <c r="L121" i="14"/>
  <c r="L120" i="14" s="1"/>
  <c r="M121" i="14"/>
  <c r="N122" i="14"/>
  <c r="O122" i="14"/>
  <c r="P122" i="14"/>
  <c r="J124" i="14"/>
  <c r="P124" i="14" s="1"/>
  <c r="I125" i="14"/>
  <c r="P125" i="14"/>
  <c r="K126" i="14"/>
  <c r="O126" i="14"/>
  <c r="P126" i="14"/>
  <c r="M128" i="14"/>
  <c r="M127" i="14" s="1"/>
  <c r="L129" i="14"/>
  <c r="O129" i="14" s="1"/>
  <c r="P129" i="14"/>
  <c r="N130" i="14"/>
  <c r="O130" i="14"/>
  <c r="P130" i="14"/>
  <c r="J132" i="14"/>
  <c r="J131" i="14" s="1"/>
  <c r="I133" i="14"/>
  <c r="K133" i="14" s="1"/>
  <c r="P133" i="14"/>
  <c r="K134" i="14"/>
  <c r="O134" i="14"/>
  <c r="P134" i="14"/>
  <c r="J136" i="14"/>
  <c r="K137" i="14"/>
  <c r="O137" i="14"/>
  <c r="P137" i="14"/>
  <c r="K138" i="14"/>
  <c r="O138" i="14"/>
  <c r="P138" i="14"/>
  <c r="I139" i="14"/>
  <c r="O139" i="14" s="1"/>
  <c r="P139" i="14"/>
  <c r="I140" i="14"/>
  <c r="P140" i="14"/>
  <c r="M142" i="14"/>
  <c r="N143" i="14"/>
  <c r="O143" i="14"/>
  <c r="P143" i="14"/>
  <c r="N144" i="14"/>
  <c r="O144" i="14"/>
  <c r="P144" i="14"/>
  <c r="N145" i="14"/>
  <c r="O145" i="14"/>
  <c r="P145" i="14"/>
  <c r="L146" i="14"/>
  <c r="L142" i="14" s="1"/>
  <c r="O142" i="14" s="1"/>
  <c r="P146" i="14"/>
  <c r="M147" i="14"/>
  <c r="L148" i="14"/>
  <c r="N148" i="14" s="1"/>
  <c r="P148" i="14"/>
  <c r="L149" i="14"/>
  <c r="O149" i="14" s="1"/>
  <c r="P149" i="14"/>
  <c r="N150" i="14"/>
  <c r="O150" i="14"/>
  <c r="P150" i="14"/>
  <c r="N151" i="14"/>
  <c r="O151" i="14"/>
  <c r="P151" i="14"/>
  <c r="L152" i="14"/>
  <c r="O152" i="14" s="1"/>
  <c r="P152" i="14"/>
  <c r="N153" i="14"/>
  <c r="O153" i="14"/>
  <c r="P153" i="14"/>
  <c r="L154" i="14"/>
  <c r="O154" i="14" s="1"/>
  <c r="P154" i="14"/>
  <c r="N155" i="14"/>
  <c r="O155" i="14"/>
  <c r="P155" i="14"/>
  <c r="L156" i="14"/>
  <c r="N156" i="14" s="1"/>
  <c r="P156" i="14"/>
  <c r="L157" i="14"/>
  <c r="O157" i="14" s="1"/>
  <c r="P157" i="14"/>
  <c r="I159" i="14"/>
  <c r="K159" i="14" s="1"/>
  <c r="P159" i="14"/>
  <c r="I160" i="14"/>
  <c r="P160" i="14"/>
  <c r="J161" i="14"/>
  <c r="P161" i="14" s="1"/>
  <c r="I162" i="14"/>
  <c r="K162" i="14" s="1"/>
  <c r="P162" i="14"/>
  <c r="I163" i="14"/>
  <c r="K163" i="14" s="1"/>
  <c r="P163" i="14"/>
  <c r="I164" i="14"/>
  <c r="K164" i="14" s="1"/>
  <c r="P164" i="14"/>
  <c r="I165" i="14"/>
  <c r="K165" i="14" s="1"/>
  <c r="P165" i="14"/>
  <c r="I166" i="14"/>
  <c r="O166" i="14" s="1"/>
  <c r="J166" i="14"/>
  <c r="K167" i="14"/>
  <c r="O167" i="14"/>
  <c r="P167" i="14"/>
  <c r="I168" i="14"/>
  <c r="P168" i="14"/>
  <c r="I169" i="14"/>
  <c r="K169" i="14" s="1"/>
  <c r="P169" i="14"/>
  <c r="L171" i="14"/>
  <c r="O171" i="14" s="1"/>
  <c r="M171" i="14"/>
  <c r="P171" i="14" s="1"/>
  <c r="N172" i="14"/>
  <c r="O172" i="14"/>
  <c r="P172" i="14"/>
  <c r="N173" i="14"/>
  <c r="O173" i="14"/>
  <c r="P173" i="14"/>
  <c r="N174" i="14"/>
  <c r="O174" i="14"/>
  <c r="P174" i="14"/>
  <c r="N175" i="14"/>
  <c r="O175" i="14"/>
  <c r="P175" i="14"/>
  <c r="N176" i="14"/>
  <c r="O176" i="14"/>
  <c r="P176" i="14"/>
  <c r="L177" i="14"/>
  <c r="O177" i="14" s="1"/>
  <c r="M177" i="14"/>
  <c r="P177" i="14" s="1"/>
  <c r="N178" i="14"/>
  <c r="O178" i="14"/>
  <c r="P178" i="14"/>
  <c r="I180" i="14"/>
  <c r="J180" i="14"/>
  <c r="K181" i="14"/>
  <c r="O181" i="14"/>
  <c r="P181" i="14"/>
  <c r="I182" i="14"/>
  <c r="O182" i="14" s="1"/>
  <c r="J182" i="14"/>
  <c r="K183" i="14"/>
  <c r="O183" i="14"/>
  <c r="P183" i="14"/>
  <c r="J185" i="14"/>
  <c r="J184" i="14" s="1"/>
  <c r="K186" i="14"/>
  <c r="O186" i="14"/>
  <c r="P186" i="14"/>
  <c r="I187" i="14"/>
  <c r="P187" i="14"/>
  <c r="I188" i="14"/>
  <c r="K188" i="14" s="1"/>
  <c r="P188" i="14"/>
  <c r="I189" i="14"/>
  <c r="K189" i="14" s="1"/>
  <c r="P189" i="14"/>
  <c r="I190" i="14"/>
  <c r="K190" i="14" s="1"/>
  <c r="P190" i="14"/>
  <c r="K191" i="14"/>
  <c r="O191" i="14"/>
  <c r="P191" i="14"/>
  <c r="L193" i="14"/>
  <c r="O193" i="14" s="1"/>
  <c r="M193" i="14"/>
  <c r="N194" i="14"/>
  <c r="O194" i="14"/>
  <c r="P194" i="14"/>
  <c r="N195" i="14"/>
  <c r="O195" i="14"/>
  <c r="P195" i="14"/>
  <c r="L196" i="14"/>
  <c r="O196" i="14" s="1"/>
  <c r="M196" i="14"/>
  <c r="N197" i="14"/>
  <c r="O197" i="14"/>
  <c r="P197" i="14"/>
  <c r="N198" i="14"/>
  <c r="O198" i="14"/>
  <c r="P198" i="14"/>
  <c r="J200" i="14"/>
  <c r="P200" i="14" s="1"/>
  <c r="I201" i="14"/>
  <c r="O201" i="14" s="1"/>
  <c r="P201" i="14"/>
  <c r="I202" i="14"/>
  <c r="P202" i="14"/>
  <c r="B82" i="14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I83" i="14"/>
  <c r="J83" i="14"/>
  <c r="P83" i="14" s="1"/>
  <c r="K84" i="14"/>
  <c r="O84" i="14"/>
  <c r="P84" i="14"/>
  <c r="J85" i="14"/>
  <c r="P85" i="14" s="1"/>
  <c r="I86" i="14"/>
  <c r="P86" i="14"/>
  <c r="K87" i="14"/>
  <c r="O87" i="14"/>
  <c r="P87" i="14"/>
  <c r="J88" i="14"/>
  <c r="P88" i="14" s="1"/>
  <c r="I89" i="14"/>
  <c r="I88" i="14" s="1"/>
  <c r="P89" i="14"/>
  <c r="I91" i="14"/>
  <c r="J91" i="14"/>
  <c r="K92" i="14"/>
  <c r="O92" i="14"/>
  <c r="P92" i="14"/>
  <c r="J93" i="14"/>
  <c r="P93" i="14" s="1"/>
  <c r="I94" i="14"/>
  <c r="I93" i="14" s="1"/>
  <c r="P94" i="14"/>
  <c r="K1616" i="14" l="1"/>
  <c r="K555" i="14"/>
  <c r="K1040" i="14"/>
  <c r="Q243" i="14"/>
  <c r="Q712" i="14"/>
  <c r="N152" i="14"/>
  <c r="K229" i="14"/>
  <c r="O1076" i="14"/>
  <c r="Q1076" i="14" s="1"/>
  <c r="Q727" i="14"/>
  <c r="O585" i="14"/>
  <c r="Q585" i="14" s="1"/>
  <c r="Q118" i="14"/>
  <c r="Q1732" i="14"/>
  <c r="Q1467" i="14"/>
  <c r="Q1383" i="14"/>
  <c r="N1403" i="14"/>
  <c r="Q486" i="14"/>
  <c r="O1052" i="14"/>
  <c r="Q1052" i="14" s="1"/>
  <c r="K224" i="14"/>
  <c r="J1311" i="14"/>
  <c r="O305" i="14"/>
  <c r="Q305" i="14" s="1"/>
  <c r="B1569" i="14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K1270" i="14"/>
  <c r="K1137" i="14"/>
  <c r="K980" i="14"/>
  <c r="Q1000" i="14"/>
  <c r="Q675" i="14"/>
  <c r="Q1429" i="14"/>
  <c r="Q1879" i="14"/>
  <c r="Q412" i="14"/>
  <c r="Q455" i="14"/>
  <c r="O1165" i="14"/>
  <c r="Q1165" i="14" s="1"/>
  <c r="Q1393" i="14"/>
  <c r="Q604" i="14"/>
  <c r="Q377" i="14"/>
  <c r="Q1019" i="14"/>
  <c r="N604" i="14"/>
  <c r="Q1742" i="14"/>
  <c r="K985" i="14"/>
  <c r="N848" i="14"/>
  <c r="K515" i="14"/>
  <c r="Q1525" i="14"/>
  <c r="Q447" i="14"/>
  <c r="Q425" i="14"/>
  <c r="N385" i="14"/>
  <c r="O1003" i="14"/>
  <c r="Q1003" i="14" s="1"/>
  <c r="K501" i="14"/>
  <c r="Q1459" i="14"/>
  <c r="O986" i="14"/>
  <c r="Q986" i="14" s="1"/>
  <c r="K507" i="14"/>
  <c r="O405" i="14"/>
  <c r="Q405" i="14" s="1"/>
  <c r="K1628" i="14"/>
  <c r="O539" i="14"/>
  <c r="Q539" i="14" s="1"/>
  <c r="Q845" i="14"/>
  <c r="K1510" i="14"/>
  <c r="O1030" i="14"/>
  <c r="Q1030" i="14" s="1"/>
  <c r="O676" i="14"/>
  <c r="Q676" i="14" s="1"/>
  <c r="P1343" i="14"/>
  <c r="Q1343" i="14" s="1"/>
  <c r="O1327" i="14"/>
  <c r="Q1327" i="14" s="1"/>
  <c r="Q697" i="14"/>
  <c r="O506" i="14"/>
  <c r="Q506" i="14" s="1"/>
  <c r="Q1520" i="14"/>
  <c r="Q1513" i="14"/>
  <c r="Q687" i="14"/>
  <c r="K1370" i="14"/>
  <c r="Q1573" i="14"/>
  <c r="Q1554" i="14"/>
  <c r="Q1877" i="14"/>
  <c r="K1797" i="14"/>
  <c r="Q345" i="14"/>
  <c r="Q316" i="14"/>
  <c r="O841" i="14"/>
  <c r="Q841" i="14" s="1"/>
  <c r="K1618" i="14"/>
  <c r="Q173" i="14"/>
  <c r="Q255" i="14"/>
  <c r="Q437" i="14"/>
  <c r="O1210" i="14"/>
  <c r="Q1210" i="14" s="1"/>
  <c r="N1476" i="14"/>
  <c r="Q450" i="14"/>
  <c r="K1451" i="14"/>
  <c r="K1425" i="14"/>
  <c r="Q1788" i="14"/>
  <c r="O1753" i="14"/>
  <c r="Q1753" i="14" s="1"/>
  <c r="Q130" i="14"/>
  <c r="N473" i="14"/>
  <c r="Q472" i="14"/>
  <c r="Q420" i="14"/>
  <c r="O1345" i="14"/>
  <c r="Q1299" i="14"/>
  <c r="P1162" i="14"/>
  <c r="O578" i="14"/>
  <c r="Q578" i="14" s="1"/>
  <c r="O567" i="14"/>
  <c r="Q567" i="14" s="1"/>
  <c r="K517" i="14"/>
  <c r="K1553" i="14"/>
  <c r="K1534" i="14"/>
  <c r="O169" i="14"/>
  <c r="Q169" i="14" s="1"/>
  <c r="K327" i="14"/>
  <c r="O1717" i="14"/>
  <c r="Q1717" i="14" s="1"/>
  <c r="N196" i="14"/>
  <c r="P128" i="14"/>
  <c r="O259" i="14"/>
  <c r="Q259" i="14" s="1"/>
  <c r="O295" i="14"/>
  <c r="Q295" i="14" s="1"/>
  <c r="Q247" i="14"/>
  <c r="K958" i="14"/>
  <c r="O1233" i="14"/>
  <c r="Q1233" i="14" s="1"/>
  <c r="K166" i="14"/>
  <c r="O111" i="14"/>
  <c r="Q111" i="14" s="1"/>
  <c r="Q666" i="14"/>
  <c r="K608" i="14"/>
  <c r="Q252" i="14"/>
  <c r="O475" i="14"/>
  <c r="Q475" i="14" s="1"/>
  <c r="K1273" i="14"/>
  <c r="P1397" i="14"/>
  <c r="Q1466" i="14"/>
  <c r="K1095" i="14"/>
  <c r="O742" i="14"/>
  <c r="Q742" i="14" s="1"/>
  <c r="N1394" i="14"/>
  <c r="O1369" i="14"/>
  <c r="Q1369" i="14" s="1"/>
  <c r="Q281" i="14"/>
  <c r="O238" i="14"/>
  <c r="Q238" i="14" s="1"/>
  <c r="Q1291" i="14"/>
  <c r="K998" i="14"/>
  <c r="O711" i="14"/>
  <c r="Q711" i="14" s="1"/>
  <c r="K689" i="14"/>
  <c r="O633" i="14"/>
  <c r="Q633" i="14" s="1"/>
  <c r="Q1478" i="14"/>
  <c r="Q138" i="14"/>
  <c r="Q267" i="14"/>
  <c r="K1055" i="14"/>
  <c r="K995" i="14"/>
  <c r="O831" i="14"/>
  <c r="Q831" i="14" s="1"/>
  <c r="Q522" i="14"/>
  <c r="N1478" i="14"/>
  <c r="Q1687" i="14"/>
  <c r="O1677" i="14"/>
  <c r="Q1677" i="14" s="1"/>
  <c r="Q1785" i="14"/>
  <c r="Q890" i="14"/>
  <c r="Q1266" i="14"/>
  <c r="N1044" i="14"/>
  <c r="K1034" i="14"/>
  <c r="Q1379" i="14"/>
  <c r="K1123" i="14"/>
  <c r="O1284" i="14"/>
  <c r="Q1284" i="14" s="1"/>
  <c r="O1042" i="14"/>
  <c r="Q1042" i="14" s="1"/>
  <c r="Q1371" i="14"/>
  <c r="N1832" i="14"/>
  <c r="Q1714" i="14"/>
  <c r="O1577" i="14"/>
  <c r="Q1577" i="14" s="1"/>
  <c r="N1694" i="14"/>
  <c r="Q1744" i="14"/>
  <c r="J1790" i="14"/>
  <c r="J1787" i="14" s="1"/>
  <c r="J1786" i="14" s="1"/>
  <c r="Q1910" i="14"/>
  <c r="K268" i="14"/>
  <c r="O248" i="14"/>
  <c r="Q248" i="14" s="1"/>
  <c r="Q457" i="14"/>
  <c r="Q390" i="14"/>
  <c r="Q1012" i="14"/>
  <c r="K890" i="14"/>
  <c r="O790" i="14"/>
  <c r="Q790" i="14" s="1"/>
  <c r="K587" i="14"/>
  <c r="N1481" i="14"/>
  <c r="Q1377" i="14"/>
  <c r="Q1683" i="14"/>
  <c r="K1720" i="14"/>
  <c r="N736" i="14"/>
  <c r="O1172" i="14"/>
  <c r="Q1172" i="14" s="1"/>
  <c r="O1857" i="14"/>
  <c r="Q1857" i="14" s="1"/>
  <c r="O1904" i="14"/>
  <c r="Q1904" i="14" s="1"/>
  <c r="N171" i="14"/>
  <c r="O957" i="14"/>
  <c r="Q957" i="14" s="1"/>
  <c r="K807" i="14"/>
  <c r="K766" i="14"/>
  <c r="O1627" i="14"/>
  <c r="Q1627" i="14" s="1"/>
  <c r="K1617" i="14"/>
  <c r="K1880" i="14"/>
  <c r="O1794" i="14"/>
  <c r="Q1794" i="14" s="1"/>
  <c r="N177" i="14"/>
  <c r="Q171" i="14"/>
  <c r="Q461" i="14"/>
  <c r="Q446" i="14"/>
  <c r="Q1316" i="14"/>
  <c r="K1115" i="14"/>
  <c r="O835" i="14"/>
  <c r="Q835" i="14" s="1"/>
  <c r="K529" i="14"/>
  <c r="Q1477" i="14"/>
  <c r="Q1541" i="14"/>
  <c r="O1533" i="14"/>
  <c r="Q1533" i="14" s="1"/>
  <c r="O1180" i="14"/>
  <c r="Q1180" i="14" s="1"/>
  <c r="O1080" i="14"/>
  <c r="Q1080" i="14" s="1"/>
  <c r="Q519" i="14"/>
  <c r="K1610" i="14"/>
  <c r="O468" i="14"/>
  <c r="Q468" i="14" s="1"/>
  <c r="Q445" i="14"/>
  <c r="O1654" i="14"/>
  <c r="Q1654" i="14" s="1"/>
  <c r="Q155" i="14"/>
  <c r="Q1011" i="14"/>
  <c r="Q84" i="14"/>
  <c r="O159" i="14"/>
  <c r="Q159" i="14" s="1"/>
  <c r="Q1348" i="14"/>
  <c r="Q1134" i="14"/>
  <c r="K922" i="14"/>
  <c r="Q822" i="14"/>
  <c r="K732" i="14"/>
  <c r="K669" i="14"/>
  <c r="K1491" i="14"/>
  <c r="P1675" i="14"/>
  <c r="K1820" i="14"/>
  <c r="Q1736" i="14"/>
  <c r="O767" i="14"/>
  <c r="Q767" i="14" s="1"/>
  <c r="O566" i="14"/>
  <c r="Q566" i="14" s="1"/>
  <c r="K1774" i="14"/>
  <c r="Q262" i="14"/>
  <c r="O418" i="14"/>
  <c r="Q418" i="14" s="1"/>
  <c r="Q1319" i="14"/>
  <c r="O843" i="14"/>
  <c r="Q843" i="14" s="1"/>
  <c r="O554" i="14"/>
  <c r="Q554" i="14" s="1"/>
  <c r="Q1388" i="14"/>
  <c r="Q1521" i="14"/>
  <c r="Q1842" i="14"/>
  <c r="Q1831" i="14"/>
  <c r="Q1822" i="14"/>
  <c r="Q1719" i="14"/>
  <c r="O1174" i="14"/>
  <c r="Q1174" i="14" s="1"/>
  <c r="Q639" i="14"/>
  <c r="Q629" i="14"/>
  <c r="Q183" i="14"/>
  <c r="Q394" i="14"/>
  <c r="K1206" i="14"/>
  <c r="Q1109" i="14"/>
  <c r="K1064" i="14"/>
  <c r="N911" i="14"/>
  <c r="K639" i="14"/>
  <c r="Q573" i="14"/>
  <c r="N1643" i="14"/>
  <c r="N1602" i="14"/>
  <c r="O1760" i="14"/>
  <c r="Q1760" i="14" s="1"/>
  <c r="Q467" i="14"/>
  <c r="Q379" i="14"/>
  <c r="O1323" i="14"/>
  <c r="Q1323" i="14" s="1"/>
  <c r="K1225" i="14"/>
  <c r="O1214" i="14"/>
  <c r="Q1214" i="14" s="1"/>
  <c r="O1129" i="14"/>
  <c r="Q1129" i="14" s="1"/>
  <c r="K1096" i="14"/>
  <c r="K961" i="14"/>
  <c r="O813" i="14"/>
  <c r="Q813" i="14" s="1"/>
  <c r="N617" i="14"/>
  <c r="Q1495" i="14"/>
  <c r="Q1486" i="14"/>
  <c r="Q1404" i="14"/>
  <c r="M1692" i="14"/>
  <c r="P1692" i="14" s="1"/>
  <c r="Q1652" i="14"/>
  <c r="Q358" i="14"/>
  <c r="O1117" i="14"/>
  <c r="J960" i="14"/>
  <c r="P960" i="14" s="1"/>
  <c r="Q1394" i="14"/>
  <c r="O1691" i="14"/>
  <c r="Q1691" i="14" s="1"/>
  <c r="K1838" i="14"/>
  <c r="K1781" i="14"/>
  <c r="Q625" i="14"/>
  <c r="Q1543" i="14"/>
  <c r="Q1535" i="14"/>
  <c r="Q1669" i="14"/>
  <c r="K1599" i="14"/>
  <c r="Q1807" i="14"/>
  <c r="K1744" i="14"/>
  <c r="Q980" i="14"/>
  <c r="Q721" i="14"/>
  <c r="K625" i="14"/>
  <c r="Q958" i="14"/>
  <c r="Q1657" i="14"/>
  <c r="O1817" i="14"/>
  <c r="Q1817" i="14" s="1"/>
  <c r="O1768" i="14"/>
  <c r="Q1768" i="14" s="1"/>
  <c r="P512" i="14"/>
  <c r="O1262" i="14"/>
  <c r="Q1262" i="14" s="1"/>
  <c r="Q134" i="14"/>
  <c r="Q256" i="14"/>
  <c r="P344" i="14"/>
  <c r="Q304" i="14"/>
  <c r="Q1056" i="14"/>
  <c r="O828" i="14"/>
  <c r="Q828" i="14" s="1"/>
  <c r="O667" i="14"/>
  <c r="Q667" i="14" s="1"/>
  <c r="K655" i="14"/>
  <c r="Q1469" i="14"/>
  <c r="Q1391" i="14"/>
  <c r="Q1646" i="14"/>
  <c r="N1639" i="14"/>
  <c r="O479" i="14"/>
  <c r="Q479" i="14" s="1"/>
  <c r="Q1653" i="14"/>
  <c r="Q126" i="14"/>
  <c r="K115" i="14"/>
  <c r="O269" i="14"/>
  <c r="Q269" i="14" s="1"/>
  <c r="N312" i="14"/>
  <c r="Q1273" i="14"/>
  <c r="K1173" i="14"/>
  <c r="K1142" i="14"/>
  <c r="K1132" i="14"/>
  <c r="K967" i="14"/>
  <c r="P951" i="14"/>
  <c r="K861" i="14"/>
  <c r="Q720" i="14"/>
  <c r="K1442" i="14"/>
  <c r="Q1366" i="14"/>
  <c r="Q1673" i="14"/>
  <c r="O1606" i="14"/>
  <c r="Q1606" i="14" s="1"/>
  <c r="Q1819" i="14"/>
  <c r="K1809" i="14"/>
  <c r="Q174" i="14"/>
  <c r="N1413" i="14"/>
  <c r="O1282" i="14"/>
  <c r="Q1282" i="14" s="1"/>
  <c r="O940" i="14"/>
  <c r="Q940" i="14" s="1"/>
  <c r="P1643" i="14"/>
  <c r="Q1643" i="14" s="1"/>
  <c r="Q1626" i="14"/>
  <c r="Q1781" i="14"/>
  <c r="Q339" i="14"/>
  <c r="Q330" i="14"/>
  <c r="Q320" i="14"/>
  <c r="Q397" i="14"/>
  <c r="I1317" i="14"/>
  <c r="O1317" i="14" s="1"/>
  <c r="Q1310" i="14"/>
  <c r="K1300" i="14"/>
  <c r="I1272" i="14"/>
  <c r="O1272" i="14" s="1"/>
  <c r="Q1220" i="14"/>
  <c r="Q1065" i="14"/>
  <c r="K1004" i="14"/>
  <c r="O900" i="14"/>
  <c r="Q900" i="14" s="1"/>
  <c r="M877" i="14"/>
  <c r="P877" i="14" s="1"/>
  <c r="K757" i="14"/>
  <c r="Q1460" i="14"/>
  <c r="Q1418" i="14"/>
  <c r="M1389" i="14"/>
  <c r="P1389" i="14" s="1"/>
  <c r="Q1381" i="14"/>
  <c r="Q1571" i="14"/>
  <c r="Q1536" i="14"/>
  <c r="K1626" i="14"/>
  <c r="J1874" i="14"/>
  <c r="P1874" i="14" s="1"/>
  <c r="N1800" i="14"/>
  <c r="Q1739" i="14"/>
  <c r="O1918" i="14"/>
  <c r="Q1918" i="14" s="1"/>
  <c r="Q1872" i="14"/>
  <c r="I1450" i="14"/>
  <c r="I1449" i="14" s="1"/>
  <c r="O1449" i="14" s="1"/>
  <c r="Q1542" i="14"/>
  <c r="N271" i="14"/>
  <c r="Q177" i="14"/>
  <c r="O162" i="14"/>
  <c r="Q162" i="14" s="1"/>
  <c r="Q152" i="14"/>
  <c r="Q266" i="14"/>
  <c r="K357" i="14"/>
  <c r="Q318" i="14"/>
  <c r="O956" i="14"/>
  <c r="Q956" i="14" s="1"/>
  <c r="K925" i="14"/>
  <c r="Q897" i="14"/>
  <c r="K888" i="14"/>
  <c r="O812" i="14"/>
  <c r="Q812" i="14" s="1"/>
  <c r="K725" i="14"/>
  <c r="Q1398" i="14"/>
  <c r="K1209" i="14"/>
  <c r="K1148" i="14"/>
  <c r="O703" i="14"/>
  <c r="Q703" i="14" s="1"/>
  <c r="O644" i="14"/>
  <c r="Q644" i="14" s="1"/>
  <c r="N1479" i="14"/>
  <c r="N1465" i="14"/>
  <c r="K1578" i="14"/>
  <c r="Q1523" i="14"/>
  <c r="Q310" i="14"/>
  <c r="K1198" i="14"/>
  <c r="Q955" i="14"/>
  <c r="K694" i="14"/>
  <c r="O685" i="14"/>
  <c r="Q685" i="14" s="1"/>
  <c r="O915" i="14"/>
  <c r="Q915" i="14" s="1"/>
  <c r="Q904" i="14"/>
  <c r="Q819" i="14"/>
  <c r="K611" i="14"/>
  <c r="Q1471" i="14"/>
  <c r="O1406" i="14"/>
  <c r="Q1406" i="14" s="1"/>
  <c r="Q1515" i="14"/>
  <c r="Q1656" i="14"/>
  <c r="O226" i="14"/>
  <c r="Q226" i="14" s="1"/>
  <c r="J297" i="14"/>
  <c r="J294" i="14" s="1"/>
  <c r="Q1060" i="14"/>
  <c r="O770" i="14"/>
  <c r="Q770" i="14" s="1"/>
  <c r="Q1414" i="14"/>
  <c r="N1395" i="14"/>
  <c r="K1853" i="14"/>
  <c r="Q1784" i="14"/>
  <c r="Q129" i="14"/>
  <c r="Q386" i="14"/>
  <c r="Q922" i="14"/>
  <c r="O1547" i="14"/>
  <c r="Q1547" i="14" s="1"/>
  <c r="P1639" i="14"/>
  <c r="Q1639" i="14" s="1"/>
  <c r="P1620" i="14"/>
  <c r="O1610" i="14"/>
  <c r="Q1610" i="14" s="1"/>
  <c r="O1733" i="14"/>
  <c r="Q1733" i="14" s="1"/>
  <c r="I686" i="14"/>
  <c r="K686" i="14" s="1"/>
  <c r="Q167" i="14"/>
  <c r="K233" i="14"/>
  <c r="Q435" i="14"/>
  <c r="Q1234" i="14"/>
  <c r="K1166" i="14"/>
  <c r="O1145" i="14"/>
  <c r="Q1145" i="14" s="1"/>
  <c r="O1093" i="14"/>
  <c r="Q1093" i="14" s="1"/>
  <c r="O1039" i="14"/>
  <c r="Q1039" i="14" s="1"/>
  <c r="J823" i="14"/>
  <c r="Q827" i="14"/>
  <c r="O809" i="14"/>
  <c r="Q809" i="14" s="1"/>
  <c r="Q740" i="14"/>
  <c r="O731" i="14"/>
  <c r="Q731" i="14" s="1"/>
  <c r="K691" i="14"/>
  <c r="K641" i="14"/>
  <c r="O518" i="14"/>
  <c r="Q518" i="14" s="1"/>
  <c r="Q501" i="14"/>
  <c r="Q1483" i="14"/>
  <c r="N1470" i="14"/>
  <c r="P1444" i="14"/>
  <c r="Q1444" i="14" s="1"/>
  <c r="Q1829" i="14"/>
  <c r="O1821" i="14"/>
  <c r="Q1821" i="14" s="1"/>
  <c r="N1802" i="14"/>
  <c r="K1733" i="14"/>
  <c r="P1720" i="14"/>
  <c r="Q1720" i="14" s="1"/>
  <c r="O503" i="14"/>
  <c r="Q503" i="14" s="1"/>
  <c r="Q1479" i="14"/>
  <c r="Q1512" i="14"/>
  <c r="N1620" i="14"/>
  <c r="O1833" i="14"/>
  <c r="Q1833" i="14" s="1"/>
  <c r="Q1782" i="14"/>
  <c r="Q195" i="14"/>
  <c r="N146" i="14"/>
  <c r="Q342" i="14"/>
  <c r="N1244" i="14"/>
  <c r="Q1139" i="14"/>
  <c r="Q1118" i="14"/>
  <c r="Q869" i="14"/>
  <c r="Q850" i="14"/>
  <c r="K799" i="14"/>
  <c r="O627" i="14"/>
  <c r="Q627" i="14" s="1"/>
  <c r="Q1485" i="14"/>
  <c r="Q1472" i="14"/>
  <c r="O1401" i="14"/>
  <c r="Q1401" i="14" s="1"/>
  <c r="Q1550" i="14"/>
  <c r="N1833" i="14"/>
  <c r="Q1800" i="14"/>
  <c r="K1782" i="14"/>
  <c r="K1917" i="14"/>
  <c r="Q1493" i="14"/>
  <c r="K1409" i="14"/>
  <c r="I1368" i="14"/>
  <c r="O1368" i="14" s="1"/>
  <c r="O1549" i="14"/>
  <c r="Q1549" i="14" s="1"/>
  <c r="Q1517" i="14"/>
  <c r="Q1511" i="14"/>
  <c r="Q1721" i="14"/>
  <c r="Q1618" i="14"/>
  <c r="Q1034" i="14"/>
  <c r="I1779" i="14"/>
  <c r="O1779" i="14" s="1"/>
  <c r="Q1779" i="14" s="1"/>
  <c r="I200" i="14"/>
  <c r="O200" i="14" s="1"/>
  <c r="Q200" i="14" s="1"/>
  <c r="O246" i="14"/>
  <c r="Q246" i="14" s="1"/>
  <c r="O302" i="14"/>
  <c r="Q302" i="14" s="1"/>
  <c r="O1240" i="14"/>
  <c r="Q1240" i="14" s="1"/>
  <c r="O928" i="14"/>
  <c r="Q928" i="14" s="1"/>
  <c r="O893" i="14"/>
  <c r="Q893" i="14" s="1"/>
  <c r="O805" i="14"/>
  <c r="Q805" i="14" s="1"/>
  <c r="O582" i="14"/>
  <c r="Q582" i="14" s="1"/>
  <c r="Q532" i="14"/>
  <c r="Q516" i="14"/>
  <c r="Q1432" i="14"/>
  <c r="O1373" i="14"/>
  <c r="Q1373" i="14" s="1"/>
  <c r="P1572" i="14"/>
  <c r="N1540" i="14"/>
  <c r="I1859" i="14"/>
  <c r="O1859" i="14" s="1"/>
  <c r="Q1903" i="14"/>
  <c r="L1567" i="14"/>
  <c r="O1567" i="14" s="1"/>
  <c r="I1769" i="14"/>
  <c r="I1766" i="14" s="1"/>
  <c r="I1765" i="14" s="1"/>
  <c r="Q1407" i="14"/>
  <c r="K89" i="14"/>
  <c r="Q236" i="14"/>
  <c r="O1249" i="14"/>
  <c r="Q1249" i="14" s="1"/>
  <c r="O1211" i="14"/>
  <c r="Q1211" i="14" s="1"/>
  <c r="Q1115" i="14"/>
  <c r="O1031" i="14"/>
  <c r="Q1031" i="14" s="1"/>
  <c r="O885" i="14"/>
  <c r="Q885" i="14" s="1"/>
  <c r="O865" i="14"/>
  <c r="Q865" i="14" s="1"/>
  <c r="O774" i="14"/>
  <c r="Q774" i="14" s="1"/>
  <c r="K711" i="14"/>
  <c r="K1522" i="14"/>
  <c r="Q1624" i="14"/>
  <c r="K1770" i="14"/>
  <c r="J593" i="14"/>
  <c r="L1659" i="14"/>
  <c r="O1659" i="14" s="1"/>
  <c r="Q1876" i="14"/>
  <c r="K201" i="14"/>
  <c r="P166" i="14"/>
  <c r="Q166" i="14" s="1"/>
  <c r="Q227" i="14"/>
  <c r="Q426" i="14"/>
  <c r="Q1314" i="14"/>
  <c r="Q1203" i="14"/>
  <c r="Q1040" i="14"/>
  <c r="N937" i="14"/>
  <c r="Q830" i="14"/>
  <c r="O642" i="14"/>
  <c r="Q642" i="14" s="1"/>
  <c r="O612" i="14"/>
  <c r="Q612" i="14" s="1"/>
  <c r="Q1463" i="14"/>
  <c r="Q1422" i="14"/>
  <c r="Q1372" i="14"/>
  <c r="Q1563" i="14"/>
  <c r="N1546" i="14"/>
  <c r="Q1538" i="14"/>
  <c r="J1531" i="14"/>
  <c r="K1875" i="14"/>
  <c r="Q1812" i="14"/>
  <c r="Q1758" i="14"/>
  <c r="Q1457" i="14"/>
  <c r="O892" i="14"/>
  <c r="Q892" i="14" s="1"/>
  <c r="O747" i="14"/>
  <c r="Q747" i="14" s="1"/>
  <c r="O1579" i="14"/>
  <c r="Q1579" i="14" s="1"/>
  <c r="J1769" i="14"/>
  <c r="J1766" i="14" s="1"/>
  <c r="Q1088" i="14"/>
  <c r="Q181" i="14"/>
  <c r="K245" i="14"/>
  <c r="Q216" i="14"/>
  <c r="O1275" i="14"/>
  <c r="Q1275" i="14" s="1"/>
  <c r="O1181" i="14"/>
  <c r="Q1181" i="14" s="1"/>
  <c r="K1164" i="14"/>
  <c r="J1143" i="14"/>
  <c r="P1143" i="14" s="1"/>
  <c r="Q1102" i="14"/>
  <c r="Q1069" i="14"/>
  <c r="K1049" i="14"/>
  <c r="O927" i="14"/>
  <c r="Q927" i="14" s="1"/>
  <c r="K864" i="14"/>
  <c r="N681" i="14"/>
  <c r="K632" i="14"/>
  <c r="O601" i="14"/>
  <c r="Q601" i="14" s="1"/>
  <c r="O561" i="14"/>
  <c r="Q561" i="14" s="1"/>
  <c r="Q549" i="14"/>
  <c r="Q1489" i="14"/>
  <c r="Q1455" i="14"/>
  <c r="Q1387" i="14"/>
  <c r="Q1530" i="14"/>
  <c r="Q1514" i="14"/>
  <c r="Q1630" i="14"/>
  <c r="Q1738" i="14"/>
  <c r="L1604" i="14"/>
  <c r="N1604" i="14" s="1"/>
  <c r="N251" i="14"/>
  <c r="I1246" i="14"/>
  <c r="O1246" i="14" s="1"/>
  <c r="Q887" i="14"/>
  <c r="Q465" i="14"/>
  <c r="Q272" i="14"/>
  <c r="Q336" i="14"/>
  <c r="Q328" i="14"/>
  <c r="Q300" i="14"/>
  <c r="K1056" i="14"/>
  <c r="Q1475" i="14"/>
  <c r="P1909" i="14"/>
  <c r="N1868" i="14"/>
  <c r="I340" i="14"/>
  <c r="O340" i="14" s="1"/>
  <c r="O189" i="14"/>
  <c r="Q189" i="14" s="1"/>
  <c r="N149" i="14"/>
  <c r="O439" i="14"/>
  <c r="Q439" i="14" s="1"/>
  <c r="O1247" i="14"/>
  <c r="Q1247" i="14" s="1"/>
  <c r="I1227" i="14"/>
  <c r="O1227" i="14" s="1"/>
  <c r="Q1142" i="14"/>
  <c r="P1122" i="14"/>
  <c r="K871" i="14"/>
  <c r="O755" i="14"/>
  <c r="Q755" i="14" s="1"/>
  <c r="O679" i="14"/>
  <c r="Q679" i="14" s="1"/>
  <c r="Q1488" i="14"/>
  <c r="P1442" i="14"/>
  <c r="Q1442" i="14" s="1"/>
  <c r="O1386" i="14"/>
  <c r="Q1613" i="14"/>
  <c r="Q1756" i="14"/>
  <c r="O1718" i="14"/>
  <c r="Q1718" i="14" s="1"/>
  <c r="O1919" i="14"/>
  <c r="Q1919" i="14" s="1"/>
  <c r="Q1018" i="14"/>
  <c r="I1208" i="14"/>
  <c r="K1208" i="14" s="1"/>
  <c r="I1575" i="14"/>
  <c r="O1575" i="14" s="1"/>
  <c r="Q1575" i="14" s="1"/>
  <c r="J1723" i="14"/>
  <c r="J1722" i="14" s="1"/>
  <c r="P1722" i="14" s="1"/>
  <c r="Q449" i="14"/>
  <c r="N1565" i="14"/>
  <c r="O165" i="14"/>
  <c r="Q165" i="14" s="1"/>
  <c r="K117" i="14"/>
  <c r="Q261" i="14"/>
  <c r="Q335" i="14"/>
  <c r="Q396" i="14"/>
  <c r="K1321" i="14"/>
  <c r="O1190" i="14"/>
  <c r="Q1190" i="14" s="1"/>
  <c r="Q1029" i="14"/>
  <c r="O1009" i="14"/>
  <c r="Q1009" i="14" s="1"/>
  <c r="O944" i="14"/>
  <c r="Q944" i="14" s="1"/>
  <c r="P836" i="14"/>
  <c r="K688" i="14"/>
  <c r="Q620" i="14"/>
  <c r="Q599" i="14"/>
  <c r="Q1474" i="14"/>
  <c r="Q1452" i="14"/>
  <c r="P1403" i="14"/>
  <c r="Q1403" i="14" s="1"/>
  <c r="Q1552" i="14"/>
  <c r="L1693" i="14"/>
  <c r="O1693" i="14" s="1"/>
  <c r="K1655" i="14"/>
  <c r="K1845" i="14"/>
  <c r="Q1826" i="14"/>
  <c r="Q1743" i="14"/>
  <c r="O1737" i="14"/>
  <c r="Q1737" i="14" s="1"/>
  <c r="B1246" i="14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K341" i="14"/>
  <c r="O1236" i="14"/>
  <c r="Q1236" i="14" s="1"/>
  <c r="K1236" i="14"/>
  <c r="O884" i="14"/>
  <c r="Q884" i="14" s="1"/>
  <c r="K884" i="14"/>
  <c r="O613" i="14"/>
  <c r="Q613" i="14" s="1"/>
  <c r="K613" i="14"/>
  <c r="Q1464" i="14"/>
  <c r="K350" i="14"/>
  <c r="P341" i="14"/>
  <c r="Q341" i="14" s="1"/>
  <c r="J340" i="14"/>
  <c r="Q423" i="14"/>
  <c r="K395" i="14"/>
  <c r="O395" i="14"/>
  <c r="Q395" i="14" s="1"/>
  <c r="K1079" i="14"/>
  <c r="Q935" i="14"/>
  <c r="Q1470" i="14"/>
  <c r="Q1637" i="14"/>
  <c r="Q1764" i="14"/>
  <c r="J1752" i="14"/>
  <c r="J1751" i="14" s="1"/>
  <c r="P1755" i="14"/>
  <c r="K1907" i="14"/>
  <c r="I1906" i="14"/>
  <c r="I124" i="14"/>
  <c r="O124" i="14" s="1"/>
  <c r="Q124" i="14" s="1"/>
  <c r="K125" i="14"/>
  <c r="O125" i="14"/>
  <c r="Q125" i="14" s="1"/>
  <c r="K1757" i="14"/>
  <c r="O1757" i="14"/>
  <c r="Q1757" i="14" s="1"/>
  <c r="Q143" i="14"/>
  <c r="Q430" i="14"/>
  <c r="O1150" i="14"/>
  <c r="Q1150" i="14" s="1"/>
  <c r="K1150" i="14"/>
  <c r="P1825" i="14"/>
  <c r="K1825" i="14"/>
  <c r="O1161" i="14"/>
  <c r="Q1161" i="14" s="1"/>
  <c r="L1866" i="14"/>
  <c r="O1866" i="14" s="1"/>
  <c r="Q1866" i="14" s="1"/>
  <c r="N1867" i="14"/>
  <c r="O1825" i="14"/>
  <c r="I1818" i="14"/>
  <c r="K1818" i="14" s="1"/>
  <c r="Q1773" i="14"/>
  <c r="Q1917" i="14"/>
  <c r="M333" i="14"/>
  <c r="P333" i="14" s="1"/>
  <c r="K1176" i="14"/>
  <c r="O1176" i="14"/>
  <c r="Q1176" i="14" s="1"/>
  <c r="K1006" i="14"/>
  <c r="O1006" i="14"/>
  <c r="Q1006" i="14" s="1"/>
  <c r="Q530" i="14"/>
  <c r="O575" i="14"/>
  <c r="Q575" i="14" s="1"/>
  <c r="K575" i="14"/>
  <c r="N456" i="14"/>
  <c r="O456" i="14"/>
  <c r="Q456" i="14" s="1"/>
  <c r="Q761" i="14"/>
  <c r="L908" i="14"/>
  <c r="O908" i="14" s="1"/>
  <c r="Q908" i="14" s="1"/>
  <c r="O1545" i="14"/>
  <c r="Q1545" i="14" s="1"/>
  <c r="L1544" i="14"/>
  <c r="O1544" i="14" s="1"/>
  <c r="Q1544" i="14" s="1"/>
  <c r="J1526" i="14"/>
  <c r="P1526" i="14" s="1"/>
  <c r="P1527" i="14"/>
  <c r="K1615" i="14"/>
  <c r="P1615" i="14"/>
  <c r="Q1615" i="14" s="1"/>
  <c r="K1304" i="14"/>
  <c r="O1304" i="14"/>
  <c r="Q1304" i="14" s="1"/>
  <c r="O657" i="14"/>
  <c r="Q657" i="14" s="1"/>
  <c r="K657" i="14"/>
  <c r="O1428" i="14"/>
  <c r="Q1428" i="14" s="1"/>
  <c r="K1428" i="14"/>
  <c r="I1423" i="14"/>
  <c r="I1420" i="14" s="1"/>
  <c r="P1716" i="14"/>
  <c r="J1713" i="14"/>
  <c r="J1709" i="14" s="1"/>
  <c r="N470" i="14"/>
  <c r="O470" i="14"/>
  <c r="Q470" i="14" s="1"/>
  <c r="O833" i="14"/>
  <c r="Q833" i="14" s="1"/>
  <c r="Q1427" i="14"/>
  <c r="O1695" i="14"/>
  <c r="Q1695" i="14" s="1"/>
  <c r="K1849" i="14"/>
  <c r="O1849" i="14"/>
  <c r="Q1849" i="14" s="1"/>
  <c r="I1848" i="14"/>
  <c r="K1848" i="14" s="1"/>
  <c r="K1200" i="14"/>
  <c r="O1200" i="14"/>
  <c r="Q1200" i="14" s="1"/>
  <c r="M1446" i="14"/>
  <c r="M1437" i="14" s="1"/>
  <c r="M1433" i="14" s="1"/>
  <c r="N1447" i="14"/>
  <c r="Q1524" i="14"/>
  <c r="O133" i="14"/>
  <c r="Q133" i="14" s="1"/>
  <c r="I132" i="14"/>
  <c r="O132" i="14" s="1"/>
  <c r="K1160" i="14"/>
  <c r="O1160" i="14"/>
  <c r="Q1160" i="14" s="1"/>
  <c r="K300" i="14"/>
  <c r="O576" i="14"/>
  <c r="Q576" i="14" s="1"/>
  <c r="N1695" i="14"/>
  <c r="I1664" i="14"/>
  <c r="O1664" i="14" s="1"/>
  <c r="K1665" i="14"/>
  <c r="K1729" i="14"/>
  <c r="O1729" i="14"/>
  <c r="Q1729" i="14" s="1"/>
  <c r="K1153" i="14"/>
  <c r="O1153" i="14"/>
  <c r="Q1153" i="14" s="1"/>
  <c r="Q1628" i="14"/>
  <c r="O1278" i="14"/>
  <c r="Q1278" i="14" s="1"/>
  <c r="K1278" i="14"/>
  <c r="K406" i="14"/>
  <c r="O406" i="14"/>
  <c r="Q406" i="14" s="1"/>
  <c r="L1097" i="14"/>
  <c r="O1097" i="14" s="1"/>
  <c r="K1124" i="14"/>
  <c r="O1124" i="14"/>
  <c r="Q1124" i="14" s="1"/>
  <c r="Q317" i="14"/>
  <c r="P1438" i="14"/>
  <c r="Q1438" i="14" s="1"/>
  <c r="Q1566" i="14"/>
  <c r="Q1518" i="14"/>
  <c r="Q299" i="14"/>
  <c r="I1103" i="14"/>
  <c r="I1100" i="14" s="1"/>
  <c r="O1100" i="14" s="1"/>
  <c r="Q961" i="14"/>
  <c r="O529" i="14"/>
  <c r="Q1476" i="14"/>
  <c r="Q1694" i="14"/>
  <c r="J1840" i="14"/>
  <c r="I1755" i="14"/>
  <c r="O1755" i="14" s="1"/>
  <c r="O89" i="14"/>
  <c r="Q89" i="14" s="1"/>
  <c r="Q194" i="14"/>
  <c r="Q215" i="14"/>
  <c r="Q332" i="14"/>
  <c r="Q483" i="14"/>
  <c r="Q422" i="14"/>
  <c r="Q1270" i="14"/>
  <c r="Q857" i="14"/>
  <c r="Q505" i="14"/>
  <c r="Q1481" i="14"/>
  <c r="L1468" i="14"/>
  <c r="N1468" i="14" s="1"/>
  <c r="Q1410" i="14"/>
  <c r="Q1565" i="14"/>
  <c r="Q1642" i="14"/>
  <c r="Q1875" i="14"/>
  <c r="O1772" i="14"/>
  <c r="Q1772" i="14" s="1"/>
  <c r="I1915" i="14"/>
  <c r="O1915" i="14" s="1"/>
  <c r="Q717" i="14"/>
  <c r="Q1649" i="14"/>
  <c r="O1863" i="14"/>
  <c r="Q1863" i="14" s="1"/>
  <c r="P1845" i="14"/>
  <c r="O1823" i="14"/>
  <c r="Q1823" i="14" s="1"/>
  <c r="N193" i="14"/>
  <c r="N154" i="14"/>
  <c r="Q139" i="14"/>
  <c r="Q274" i="14"/>
  <c r="K247" i="14"/>
  <c r="Q230" i="14"/>
  <c r="Q482" i="14"/>
  <c r="O462" i="14"/>
  <c r="Q462" i="14" s="1"/>
  <c r="K394" i="14"/>
  <c r="O1321" i="14"/>
  <c r="Q1321" i="14" s="1"/>
  <c r="O1303" i="14"/>
  <c r="Q1303" i="14" s="1"/>
  <c r="Q1295" i="14"/>
  <c r="Q1173" i="14"/>
  <c r="Q1158" i="14"/>
  <c r="I1146" i="14"/>
  <c r="O1146" i="14" s="1"/>
  <c r="Q1146" i="14" s="1"/>
  <c r="O1104" i="14"/>
  <c r="Q1104" i="14" s="1"/>
  <c r="O959" i="14"/>
  <c r="Q959" i="14" s="1"/>
  <c r="Q952" i="14"/>
  <c r="O898" i="14"/>
  <c r="Q898" i="14" s="1"/>
  <c r="N882" i="14"/>
  <c r="O872" i="14"/>
  <c r="Q872" i="14" s="1"/>
  <c r="O796" i="14"/>
  <c r="Q796" i="14" s="1"/>
  <c r="O743" i="14"/>
  <c r="Q743" i="14" s="1"/>
  <c r="Q646" i="14"/>
  <c r="Q528" i="14"/>
  <c r="Q1456" i="14"/>
  <c r="P1409" i="14"/>
  <c r="Q1409" i="14" s="1"/>
  <c r="Q1378" i="14"/>
  <c r="K1550" i="14"/>
  <c r="P1529" i="14"/>
  <c r="P1510" i="14"/>
  <c r="Q1510" i="14" s="1"/>
  <c r="Q1663" i="14"/>
  <c r="Q1880" i="14"/>
  <c r="I1874" i="14"/>
  <c r="I1871" i="14" s="1"/>
  <c r="K1863" i="14"/>
  <c r="Q966" i="14"/>
  <c r="J713" i="14"/>
  <c r="Q1480" i="14"/>
  <c r="K1529" i="14"/>
  <c r="Q87" i="14"/>
  <c r="Q191" i="14"/>
  <c r="N129" i="14"/>
  <c r="I265" i="14"/>
  <c r="I264" i="14" s="1"/>
  <c r="Q434" i="14"/>
  <c r="O1326" i="14"/>
  <c r="Q1326" i="14" s="1"/>
  <c r="Q1522" i="14"/>
  <c r="I1634" i="14"/>
  <c r="O1634" i="14" s="1"/>
  <c r="M1601" i="14"/>
  <c r="P1601" i="14" s="1"/>
  <c r="K222" i="14"/>
  <c r="O354" i="14"/>
  <c r="Q354" i="14" s="1"/>
  <c r="Q473" i="14"/>
  <c r="O1188" i="14"/>
  <c r="Q1188" i="14" s="1"/>
  <c r="I1092" i="14"/>
  <c r="K1092" i="14" s="1"/>
  <c r="O1074" i="14"/>
  <c r="Q1074" i="14" s="1"/>
  <c r="O1063" i="14"/>
  <c r="Q1063" i="14" s="1"/>
  <c r="O1028" i="14"/>
  <c r="Q1028" i="14" s="1"/>
  <c r="O1001" i="14"/>
  <c r="Q1001" i="14" s="1"/>
  <c r="I973" i="14"/>
  <c r="K973" i="14" s="1"/>
  <c r="K930" i="14"/>
  <c r="O715" i="14"/>
  <c r="Q715" i="14" s="1"/>
  <c r="P681" i="14"/>
  <c r="O1461" i="14"/>
  <c r="Q1461" i="14" s="1"/>
  <c r="Q1370" i="14"/>
  <c r="O1555" i="14"/>
  <c r="Q1555" i="14" s="1"/>
  <c r="O1793" i="14"/>
  <c r="Q1793" i="14" s="1"/>
  <c r="K182" i="14"/>
  <c r="O146" i="14"/>
  <c r="Q146" i="14" s="1"/>
  <c r="O337" i="14"/>
  <c r="Q337" i="14" s="1"/>
  <c r="O1351" i="14"/>
  <c r="Q1351" i="14" s="1"/>
  <c r="O1147" i="14"/>
  <c r="Q1147" i="14" s="1"/>
  <c r="Q773" i="14"/>
  <c r="K749" i="14"/>
  <c r="O688" i="14"/>
  <c r="Q688" i="14" s="1"/>
  <c r="O681" i="14"/>
  <c r="O636" i="14"/>
  <c r="Q636" i="14" s="1"/>
  <c r="O617" i="14"/>
  <c r="Q617" i="14" s="1"/>
  <c r="O589" i="14"/>
  <c r="Q589" i="14" s="1"/>
  <c r="O570" i="14"/>
  <c r="Q570" i="14" s="1"/>
  <c r="Q552" i="14"/>
  <c r="J1440" i="14"/>
  <c r="J1437" i="14" s="1"/>
  <c r="O1661" i="14"/>
  <c r="Q1661" i="14" s="1"/>
  <c r="Q1655" i="14"/>
  <c r="P1617" i="14"/>
  <c r="Q1617" i="14" s="1"/>
  <c r="K1861" i="14"/>
  <c r="O1852" i="14"/>
  <c r="Q1852" i="14" s="1"/>
  <c r="O1806" i="14"/>
  <c r="Q1806" i="14" s="1"/>
  <c r="K1759" i="14"/>
  <c r="Q1741" i="14"/>
  <c r="I1716" i="14"/>
  <c r="O1716" i="14" s="1"/>
  <c r="O190" i="14"/>
  <c r="Q190" i="14" s="1"/>
  <c r="N337" i="14"/>
  <c r="O460" i="14"/>
  <c r="Q460" i="14" s="1"/>
  <c r="O1171" i="14"/>
  <c r="Q1171" i="14" s="1"/>
  <c r="I1551" i="14"/>
  <c r="I1548" i="14" s="1"/>
  <c r="K1548" i="14" s="1"/>
  <c r="Q1690" i="14"/>
  <c r="Q1682" i="14"/>
  <c r="K1852" i="14"/>
  <c r="O1843" i="14"/>
  <c r="Q1843" i="14" s="1"/>
  <c r="Q1835" i="14"/>
  <c r="Q1813" i="14"/>
  <c r="N1806" i="14"/>
  <c r="K1798" i="14"/>
  <c r="I1735" i="14"/>
  <c r="O1735" i="14" s="1"/>
  <c r="O94" i="14"/>
  <c r="Q94" i="14" s="1"/>
  <c r="K1155" i="14"/>
  <c r="O1101" i="14"/>
  <c r="Q1101" i="14" s="1"/>
  <c r="I1008" i="14"/>
  <c r="O1008" i="14" s="1"/>
  <c r="L1799" i="14"/>
  <c r="Q1774" i="14"/>
  <c r="I1902" i="14"/>
  <c r="K1902" i="14" s="1"/>
  <c r="Q145" i="14"/>
  <c r="Q319" i="14"/>
  <c r="N309" i="14"/>
  <c r="L1308" i="14"/>
  <c r="O1308" i="14" s="1"/>
  <c r="P1092" i="14"/>
  <c r="P973" i="14"/>
  <c r="L1392" i="14"/>
  <c r="O1392" i="14" s="1"/>
  <c r="Q1375" i="14"/>
  <c r="Q1660" i="14"/>
  <c r="K1654" i="14"/>
  <c r="I1611" i="14"/>
  <c r="O1611" i="14" s="1"/>
  <c r="K1851" i="14"/>
  <c r="Q1805" i="14"/>
  <c r="P1797" i="14"/>
  <c r="Q1797" i="14" s="1"/>
  <c r="K1792" i="14"/>
  <c r="K1783" i="14"/>
  <c r="O1909" i="14"/>
  <c r="O1186" i="14"/>
  <c r="Q1186" i="14" s="1"/>
  <c r="P1089" i="14"/>
  <c r="O652" i="14"/>
  <c r="Q652" i="14" s="1"/>
  <c r="O607" i="14"/>
  <c r="Q607" i="14" s="1"/>
  <c r="Q1546" i="14"/>
  <c r="I1625" i="14"/>
  <c r="K1625" i="14" s="1"/>
  <c r="Q1851" i="14"/>
  <c r="Q1820" i="14"/>
  <c r="Q1792" i="14"/>
  <c r="N1909" i="14"/>
  <c r="Q92" i="14"/>
  <c r="P196" i="14"/>
  <c r="Q196" i="14" s="1"/>
  <c r="I1170" i="14"/>
  <c r="O1170" i="14" s="1"/>
  <c r="Q1421" i="14"/>
  <c r="N1406" i="14"/>
  <c r="O1568" i="14"/>
  <c r="Q1568" i="14" s="1"/>
  <c r="Q1562" i="14"/>
  <c r="I1527" i="14"/>
  <c r="Q1519" i="14"/>
  <c r="K1679" i="14"/>
  <c r="Q1644" i="14"/>
  <c r="Q1629" i="14"/>
  <c r="Q1623" i="14"/>
  <c r="Q1834" i="14"/>
  <c r="K1731" i="14"/>
  <c r="J1901" i="14"/>
  <c r="J1900" i="14" s="1"/>
  <c r="Q1079" i="14"/>
  <c r="Q1033" i="14"/>
  <c r="K868" i="14"/>
  <c r="Q799" i="14"/>
  <c r="O771" i="14"/>
  <c r="Q771" i="14" s="1"/>
  <c r="P763" i="14"/>
  <c r="K702" i="14"/>
  <c r="L559" i="14"/>
  <c r="L550" i="14" s="1"/>
  <c r="Q1553" i="14"/>
  <c r="I1531" i="14"/>
  <c r="L1638" i="14"/>
  <c r="O1638" i="14" s="1"/>
  <c r="Q1858" i="14"/>
  <c r="M1799" i="14"/>
  <c r="M1787" i="14" s="1"/>
  <c r="I1747" i="14"/>
  <c r="K1747" i="14" s="1"/>
  <c r="Q201" i="14"/>
  <c r="I939" i="14"/>
  <c r="O939" i="14" s="1"/>
  <c r="Q471" i="14"/>
  <c r="Q1332" i="14"/>
  <c r="Q1298" i="14"/>
  <c r="Q1289" i="14"/>
  <c r="Q919" i="14"/>
  <c r="Q815" i="14"/>
  <c r="Q737" i="14"/>
  <c r="Q669" i="14"/>
  <c r="Q641" i="14"/>
  <c r="N1390" i="14"/>
  <c r="Q1374" i="14"/>
  <c r="Q1532" i="14"/>
  <c r="Q1666" i="14"/>
  <c r="J1622" i="14"/>
  <c r="P1622" i="14" s="1"/>
  <c r="Q1841" i="14"/>
  <c r="Q1803" i="14"/>
  <c r="Q1745" i="14"/>
  <c r="Q654" i="14"/>
  <c r="M562" i="14"/>
  <c r="P571" i="14"/>
  <c r="N1203" i="14"/>
  <c r="Q1163" i="14"/>
  <c r="Q1137" i="14"/>
  <c r="Q1095" i="14"/>
  <c r="M1086" i="14"/>
  <c r="M1078" i="14" s="1"/>
  <c r="L1067" i="14"/>
  <c r="L1059" i="14" s="1"/>
  <c r="Q871" i="14"/>
  <c r="M735" i="14"/>
  <c r="M713" i="14" s="1"/>
  <c r="Q691" i="14"/>
  <c r="Q1016" i="14"/>
  <c r="Q759" i="14"/>
  <c r="L1086" i="14"/>
  <c r="L1078" i="14" s="1"/>
  <c r="Q1047" i="14"/>
  <c r="Q837" i="14"/>
  <c r="Q734" i="14"/>
  <c r="Q1226" i="14"/>
  <c r="Q852" i="14"/>
  <c r="Q709" i="14"/>
  <c r="Q699" i="14"/>
  <c r="Q690" i="14"/>
  <c r="N616" i="14"/>
  <c r="Q1225" i="14"/>
  <c r="Q1216" i="14"/>
  <c r="Q1169" i="14"/>
  <c r="Q513" i="14"/>
  <c r="Q527" i="14"/>
  <c r="L1108" i="14"/>
  <c r="Q1099" i="14"/>
  <c r="N818" i="14"/>
  <c r="Q1324" i="14"/>
  <c r="P1242" i="14"/>
  <c r="Q1053" i="14"/>
  <c r="Q1045" i="14"/>
  <c r="Q764" i="14"/>
  <c r="Q682" i="14"/>
  <c r="Q1268" i="14"/>
  <c r="P1098" i="14"/>
  <c r="Q1098" i="14" s="1"/>
  <c r="Q909" i="14"/>
  <c r="Q623" i="14"/>
  <c r="M559" i="14"/>
  <c r="P559" i="14" s="1"/>
  <c r="Q1267" i="14"/>
  <c r="Q1231" i="14"/>
  <c r="Q1132" i="14"/>
  <c r="Q1106" i="14"/>
  <c r="Q1002" i="14"/>
  <c r="P1097" i="14"/>
  <c r="Q994" i="14"/>
  <c r="Q524" i="14"/>
  <c r="Q787" i="14"/>
  <c r="N629" i="14"/>
  <c r="M680" i="14"/>
  <c r="M671" i="14" s="1"/>
  <c r="P671" i="14" s="1"/>
  <c r="Q611" i="14"/>
  <c r="Q1346" i="14"/>
  <c r="Q1096" i="14"/>
  <c r="M628" i="14"/>
  <c r="P628" i="14" s="1"/>
  <c r="Q536" i="14"/>
  <c r="P1331" i="14"/>
  <c r="Q1331" i="14" s="1"/>
  <c r="Q1164" i="14"/>
  <c r="Q1148" i="14"/>
  <c r="Q930" i="14"/>
  <c r="P736" i="14"/>
  <c r="Q736" i="14" s="1"/>
  <c r="L628" i="14"/>
  <c r="O628" i="14" s="1"/>
  <c r="N1087" i="14"/>
  <c r="Q992" i="14"/>
  <c r="Q821" i="14"/>
  <c r="N572" i="14"/>
  <c r="Q515" i="14"/>
  <c r="Q453" i="14"/>
  <c r="O271" i="14"/>
  <c r="Q271" i="14" s="1"/>
  <c r="K1168" i="14"/>
  <c r="O1168" i="14"/>
  <c r="Q1168" i="14" s="1"/>
  <c r="Q1087" i="14"/>
  <c r="O1044" i="14"/>
  <c r="L1043" i="14"/>
  <c r="I990" i="14"/>
  <c r="O990" i="14" s="1"/>
  <c r="K991" i="14"/>
  <c r="O991" i="14"/>
  <c r="Q991" i="14" s="1"/>
  <c r="O949" i="14"/>
  <c r="Q949" i="14" s="1"/>
  <c r="K949" i="14"/>
  <c r="P1808" i="14"/>
  <c r="Q1808" i="14" s="1"/>
  <c r="K1808" i="14"/>
  <c r="N1309" i="14"/>
  <c r="M1308" i="14"/>
  <c r="K1212" i="14"/>
  <c r="O1212" i="14"/>
  <c r="Q1212" i="14" s="1"/>
  <c r="N548" i="14"/>
  <c r="P548" i="14"/>
  <c r="M547" i="14"/>
  <c r="O1285" i="14"/>
  <c r="Q1285" i="14" s="1"/>
  <c r="K1285" i="14"/>
  <c r="J1245" i="14"/>
  <c r="P1044" i="14"/>
  <c r="M1043" i="14"/>
  <c r="P1043" i="14" s="1"/>
  <c r="O917" i="14"/>
  <c r="Q917" i="14" s="1"/>
  <c r="K917" i="14"/>
  <c r="L547" i="14"/>
  <c r="L538" i="14" s="1"/>
  <c r="O548" i="14"/>
  <c r="K1386" i="14"/>
  <c r="J1385" i="14"/>
  <c r="K1385" i="14" s="1"/>
  <c r="P1386" i="14"/>
  <c r="I1790" i="14"/>
  <c r="O1795" i="14"/>
  <c r="Q1795" i="14" s="1"/>
  <c r="J264" i="14"/>
  <c r="Q433" i="14"/>
  <c r="K399" i="14"/>
  <c r="O399" i="14"/>
  <c r="Q399" i="14" s="1"/>
  <c r="L1330" i="14"/>
  <c r="L1311" i="14" s="1"/>
  <c r="Q197" i="14"/>
  <c r="P182" i="14"/>
  <c r="Q182" i="14" s="1"/>
  <c r="Q280" i="14"/>
  <c r="Q334" i="14"/>
  <c r="Q327" i="14"/>
  <c r="J1224" i="14"/>
  <c r="O1152" i="14"/>
  <c r="Q1152" i="14" s="1"/>
  <c r="K1060" i="14"/>
  <c r="K1036" i="14"/>
  <c r="O1036" i="14"/>
  <c r="Q1036" i="14" s="1"/>
  <c r="K1020" i="14"/>
  <c r="I1017" i="14"/>
  <c r="O1017" i="14" s="1"/>
  <c r="Q907" i="14"/>
  <c r="O874" i="14"/>
  <c r="Q874" i="14" s="1"/>
  <c r="Q859" i="14"/>
  <c r="Q849" i="14"/>
  <c r="K825" i="14"/>
  <c r="Q816" i="14"/>
  <c r="K733" i="14"/>
  <c r="O733" i="14"/>
  <c r="Q733" i="14" s="1"/>
  <c r="O590" i="14"/>
  <c r="Q590" i="14" s="1"/>
  <c r="K590" i="14"/>
  <c r="K556" i="14"/>
  <c r="O556" i="14"/>
  <c r="Q556" i="14" s="1"/>
  <c r="I553" i="14"/>
  <c r="O553" i="14" s="1"/>
  <c r="Q553" i="14" s="1"/>
  <c r="J1340" i="14"/>
  <c r="K1342" i="14"/>
  <c r="P1342" i="14"/>
  <c r="Q1342" i="14" s="1"/>
  <c r="N1415" i="14"/>
  <c r="P1415" i="14"/>
  <c r="Q1415" i="14" s="1"/>
  <c r="K950" i="14"/>
  <c r="O950" i="14"/>
  <c r="Q950" i="14" s="1"/>
  <c r="K139" i="14"/>
  <c r="Q276" i="14"/>
  <c r="K348" i="14"/>
  <c r="O348" i="14"/>
  <c r="Q348" i="14" s="1"/>
  <c r="L333" i="14"/>
  <c r="J323" i="14"/>
  <c r="O478" i="14"/>
  <c r="Q478" i="14" s="1"/>
  <c r="N478" i="14"/>
  <c r="I376" i="14"/>
  <c r="I372" i="14" s="1"/>
  <c r="O372" i="14" s="1"/>
  <c r="O378" i="14"/>
  <c r="Q378" i="14" s="1"/>
  <c r="O1350" i="14"/>
  <c r="Q1350" i="14" s="1"/>
  <c r="K1196" i="14"/>
  <c r="O1133" i="14"/>
  <c r="Q1133" i="14" s="1"/>
  <c r="K1133" i="14"/>
  <c r="O997" i="14"/>
  <c r="Q997" i="14" s="1"/>
  <c r="O969" i="14"/>
  <c r="Q969" i="14" s="1"/>
  <c r="K969" i="14"/>
  <c r="Q832" i="14"/>
  <c r="K808" i="14"/>
  <c r="O808" i="14"/>
  <c r="Q808" i="14" s="1"/>
  <c r="O598" i="14"/>
  <c r="Q598" i="14" s="1"/>
  <c r="P1490" i="14"/>
  <c r="K1441" i="14"/>
  <c r="P1441" i="14"/>
  <c r="Q1441" i="14" s="1"/>
  <c r="Q1645" i="14"/>
  <c r="K710" i="14"/>
  <c r="P710" i="14"/>
  <c r="Q710" i="14" s="1"/>
  <c r="M120" i="14"/>
  <c r="N120" i="14" s="1"/>
  <c r="P121" i="14"/>
  <c r="J1349" i="14"/>
  <c r="K1349" i="14" s="1"/>
  <c r="K1350" i="14"/>
  <c r="M1116" i="14"/>
  <c r="N1116" i="14" s="1"/>
  <c r="N1117" i="14"/>
  <c r="P1117" i="14"/>
  <c r="K1085" i="14"/>
  <c r="O1085" i="14"/>
  <c r="Q1085" i="14" s="1"/>
  <c r="K1066" i="14"/>
  <c r="O1066" i="14"/>
  <c r="Q1066" i="14" s="1"/>
  <c r="K929" i="14"/>
  <c r="O929" i="14"/>
  <c r="Q929" i="14" s="1"/>
  <c r="K723" i="14"/>
  <c r="O723" i="14"/>
  <c r="Q723" i="14" s="1"/>
  <c r="P1487" i="14"/>
  <c r="J1453" i="14"/>
  <c r="P1035" i="14"/>
  <c r="I886" i="14"/>
  <c r="O886" i="14" s="1"/>
  <c r="K891" i="14"/>
  <c r="O891" i="14"/>
  <c r="Q891" i="14" s="1"/>
  <c r="I1726" i="14"/>
  <c r="O1726" i="14" s="1"/>
  <c r="Q1726" i="14" s="1"/>
  <c r="K1728" i="14"/>
  <c r="O1728" i="14"/>
  <c r="Q1728" i="14" s="1"/>
  <c r="N477" i="14"/>
  <c r="O477" i="14"/>
  <c r="Q477" i="14" s="1"/>
  <c r="K979" i="14"/>
  <c r="O979" i="14"/>
  <c r="Q979" i="14" s="1"/>
  <c r="O968" i="14"/>
  <c r="Q968" i="14" s="1"/>
  <c r="K968" i="14"/>
  <c r="K779" i="14"/>
  <c r="O779" i="14"/>
  <c r="Q779" i="14" s="1"/>
  <c r="K563" i="14"/>
  <c r="O563" i="14"/>
  <c r="Q563" i="14" s="1"/>
  <c r="P1735" i="14"/>
  <c r="O188" i="14"/>
  <c r="Q188" i="14" s="1"/>
  <c r="P180" i="14"/>
  <c r="K180" i="14"/>
  <c r="I234" i="14"/>
  <c r="O234" i="14" s="1"/>
  <c r="K237" i="14"/>
  <c r="O237" i="14"/>
  <c r="Q237" i="14" s="1"/>
  <c r="Q1223" i="14"/>
  <c r="K1065" i="14"/>
  <c r="Q995" i="14"/>
  <c r="K746" i="14"/>
  <c r="O746" i="14"/>
  <c r="Q746" i="14" s="1"/>
  <c r="L738" i="14"/>
  <c r="N738" i="14" s="1"/>
  <c r="K505" i="14"/>
  <c r="K1439" i="14"/>
  <c r="P1439" i="14"/>
  <c r="Q1439" i="14" s="1"/>
  <c r="K1667" i="14"/>
  <c r="P1667" i="14"/>
  <c r="Q1667" i="14" s="1"/>
  <c r="M1202" i="14"/>
  <c r="I1490" i="14"/>
  <c r="K1490" i="14" s="1"/>
  <c r="K1496" i="14"/>
  <c r="O1496" i="14"/>
  <c r="Q1496" i="14" s="1"/>
  <c r="P1368" i="14"/>
  <c r="J1367" i="14"/>
  <c r="J1856" i="14"/>
  <c r="J1855" i="14" s="1"/>
  <c r="P1859" i="14"/>
  <c r="P1293" i="14"/>
  <c r="J1290" i="14"/>
  <c r="K580" i="14"/>
  <c r="O580" i="14"/>
  <c r="Q580" i="14" s="1"/>
  <c r="P1017" i="14"/>
  <c r="O895" i="14"/>
  <c r="Q895" i="14" s="1"/>
  <c r="K895" i="14"/>
  <c r="P1659" i="14"/>
  <c r="O1754" i="14"/>
  <c r="Q1754" i="14" s="1"/>
  <c r="K325" i="14"/>
  <c r="O325" i="14"/>
  <c r="Q325" i="14" s="1"/>
  <c r="I326" i="14"/>
  <c r="O326" i="14" s="1"/>
  <c r="K331" i="14"/>
  <c r="N436" i="14"/>
  <c r="O436" i="14"/>
  <c r="Q436" i="14" s="1"/>
  <c r="K1156" i="14"/>
  <c r="O1156" i="14"/>
  <c r="Q1156" i="14" s="1"/>
  <c r="J1032" i="14"/>
  <c r="O1678" i="14"/>
  <c r="Q1678" i="14" s="1"/>
  <c r="K1678" i="14"/>
  <c r="O1120" i="14"/>
  <c r="Q1120" i="14" s="1"/>
  <c r="K1120" i="14"/>
  <c r="K140" i="14"/>
  <c r="O140" i="14"/>
  <c r="Q140" i="14" s="1"/>
  <c r="I179" i="14"/>
  <c r="O179" i="14" s="1"/>
  <c r="O180" i="14"/>
  <c r="Q186" i="14"/>
  <c r="M123" i="14"/>
  <c r="P127" i="14"/>
  <c r="N429" i="14"/>
  <c r="O429" i="14"/>
  <c r="Q429" i="14" s="1"/>
  <c r="L415" i="14"/>
  <c r="O415" i="14" s="1"/>
  <c r="O1336" i="14"/>
  <c r="I1335" i="14"/>
  <c r="O1335" i="14" s="1"/>
  <c r="K1319" i="14"/>
  <c r="I1293" i="14"/>
  <c r="O1297" i="14"/>
  <c r="Q1297" i="14" s="1"/>
  <c r="K1185" i="14"/>
  <c r="O1185" i="14"/>
  <c r="Q1185" i="14" s="1"/>
  <c r="K1106" i="14"/>
  <c r="O1091" i="14"/>
  <c r="Q1091" i="14" s="1"/>
  <c r="K1091" i="14"/>
  <c r="K1016" i="14"/>
  <c r="Q975" i="14"/>
  <c r="K894" i="14"/>
  <c r="O894" i="14"/>
  <c r="Q894" i="14" s="1"/>
  <c r="O776" i="14"/>
  <c r="Q776" i="14" s="1"/>
  <c r="K776" i="14"/>
  <c r="Q694" i="14"/>
  <c r="K1380" i="14"/>
  <c r="O1380" i="14"/>
  <c r="Q1380" i="14" s="1"/>
  <c r="O168" i="14"/>
  <c r="Q168" i="14" s="1"/>
  <c r="K168" i="14"/>
  <c r="P1067" i="14"/>
  <c r="M1059" i="14"/>
  <c r="K263" i="14"/>
  <c r="O263" i="14"/>
  <c r="Q263" i="14" s="1"/>
  <c r="J254" i="14"/>
  <c r="P254" i="14" s="1"/>
  <c r="Q153" i="14"/>
  <c r="I1258" i="14"/>
  <c r="O1258" i="14" s="1"/>
  <c r="Q1258" i="14" s="1"/>
  <c r="O322" i="14"/>
  <c r="Q322" i="14" s="1"/>
  <c r="L321" i="14"/>
  <c r="O321" i="14" s="1"/>
  <c r="Q321" i="14" s="1"/>
  <c r="N322" i="14"/>
  <c r="L128" i="14"/>
  <c r="L127" i="14" s="1"/>
  <c r="N127" i="14" s="1"/>
  <c r="Q655" i="14"/>
  <c r="K383" i="14"/>
  <c r="O383" i="14"/>
  <c r="Q383" i="14" s="1"/>
  <c r="I382" i="14"/>
  <c r="O382" i="14" s="1"/>
  <c r="M170" i="14"/>
  <c r="M158" i="14" s="1"/>
  <c r="Q282" i="14"/>
  <c r="O249" i="14"/>
  <c r="Q249" i="14" s="1"/>
  <c r="Q402" i="14"/>
  <c r="K1346" i="14"/>
  <c r="N1265" i="14"/>
  <c r="Q1238" i="14"/>
  <c r="K1213" i="14"/>
  <c r="P934" i="14"/>
  <c r="Q876" i="14"/>
  <c r="K862" i="14"/>
  <c r="O862" i="14"/>
  <c r="Q862" i="14" s="1"/>
  <c r="K844" i="14"/>
  <c r="O844" i="14"/>
  <c r="Q844" i="14" s="1"/>
  <c r="L671" i="14"/>
  <c r="O680" i="14"/>
  <c r="J708" i="14"/>
  <c r="P708" i="14" s="1"/>
  <c r="O1125" i="14"/>
  <c r="Q1125" i="14" s="1"/>
  <c r="K1125" i="14"/>
  <c r="L170" i="14"/>
  <c r="O170" i="14" s="1"/>
  <c r="I136" i="14"/>
  <c r="I135" i="14" s="1"/>
  <c r="J116" i="14"/>
  <c r="K116" i="14" s="1"/>
  <c r="P117" i="14"/>
  <c r="Q258" i="14"/>
  <c r="O474" i="14"/>
  <c r="Q474" i="14" s="1"/>
  <c r="Q427" i="14"/>
  <c r="O1255" i="14"/>
  <c r="Q1255" i="14" s="1"/>
  <c r="Q1213" i="14"/>
  <c r="O1113" i="14"/>
  <c r="Q1113" i="14" s="1"/>
  <c r="I1035" i="14"/>
  <c r="K1035" i="14" s="1"/>
  <c r="Q974" i="14"/>
  <c r="O942" i="14"/>
  <c r="Q942" i="14" s="1"/>
  <c r="M913" i="14"/>
  <c r="P933" i="14"/>
  <c r="J883" i="14"/>
  <c r="K869" i="14"/>
  <c r="P686" i="14"/>
  <c r="O664" i="14"/>
  <c r="Q664" i="14" s="1"/>
  <c r="K1494" i="14"/>
  <c r="O1494" i="14"/>
  <c r="Q1494" i="14" s="1"/>
  <c r="J978" i="14"/>
  <c r="P978" i="14" s="1"/>
  <c r="P981" i="14"/>
  <c r="K858" i="14"/>
  <c r="O858" i="14"/>
  <c r="Q858" i="14" s="1"/>
  <c r="N476" i="14"/>
  <c r="O476" i="14"/>
  <c r="Q476" i="14" s="1"/>
  <c r="Q176" i="14"/>
  <c r="O164" i="14"/>
  <c r="Q164" i="14" s="1"/>
  <c r="O156" i="14"/>
  <c r="Q156" i="14" s="1"/>
  <c r="J351" i="14"/>
  <c r="N441" i="14"/>
  <c r="O441" i="14"/>
  <c r="Q441" i="14" s="1"/>
  <c r="O1279" i="14"/>
  <c r="Q1279" i="14" s="1"/>
  <c r="K1191" i="14"/>
  <c r="O1191" i="14"/>
  <c r="Q1191" i="14" s="1"/>
  <c r="I951" i="14"/>
  <c r="O951" i="14" s="1"/>
  <c r="K942" i="14"/>
  <c r="Q932" i="14"/>
  <c r="N851" i="14"/>
  <c r="P851" i="14"/>
  <c r="Q851" i="14" s="1"/>
  <c r="M847" i="14"/>
  <c r="K672" i="14"/>
  <c r="O672" i="14"/>
  <c r="Q672" i="14" s="1"/>
  <c r="K1613" i="14"/>
  <c r="Q1810" i="14"/>
  <c r="Q198" i="14"/>
  <c r="P265" i="14"/>
  <c r="Q242" i="14"/>
  <c r="Q233" i="14"/>
  <c r="P1309" i="14"/>
  <c r="Q1309" i="14" s="1"/>
  <c r="I1178" i="14"/>
  <c r="I1175" i="14" s="1"/>
  <c r="O1175" i="14" s="1"/>
  <c r="O1182" i="14"/>
  <c r="Q1182" i="14" s="1"/>
  <c r="J1014" i="14"/>
  <c r="P1014" i="14" s="1"/>
  <c r="Q875" i="14"/>
  <c r="O811" i="14"/>
  <c r="Q811" i="14" s="1"/>
  <c r="K692" i="14"/>
  <c r="O692" i="14"/>
  <c r="Q692" i="14" s="1"/>
  <c r="K502" i="14"/>
  <c r="O502" i="14"/>
  <c r="Q502" i="14" s="1"/>
  <c r="K1864" i="14"/>
  <c r="O1864" i="14"/>
  <c r="Q1864" i="14" s="1"/>
  <c r="Q1318" i="14"/>
  <c r="Q1292" i="14"/>
  <c r="Q1196" i="14"/>
  <c r="Q1021" i="14"/>
  <c r="Q989" i="14"/>
  <c r="Q882" i="14"/>
  <c r="Q769" i="14"/>
  <c r="J662" i="14"/>
  <c r="P665" i="14"/>
  <c r="K614" i="14"/>
  <c r="O614" i="14"/>
  <c r="Q614" i="14" s="1"/>
  <c r="Q540" i="14"/>
  <c r="Q1482" i="14"/>
  <c r="P1451" i="14"/>
  <c r="Q1451" i="14" s="1"/>
  <c r="J1450" i="14"/>
  <c r="P1450" i="14" s="1"/>
  <c r="Q1640" i="14"/>
  <c r="J1815" i="14"/>
  <c r="J1814" i="14" s="1"/>
  <c r="P1818" i="14"/>
  <c r="Q630" i="14"/>
  <c r="Q1458" i="14"/>
  <c r="O1516" i="14"/>
  <c r="Q1516" i="14" s="1"/>
  <c r="I1509" i="14"/>
  <c r="O1509" i="14" s="1"/>
  <c r="Q1509" i="14" s="1"/>
  <c r="Q1801" i="14"/>
  <c r="Q239" i="14"/>
  <c r="Q444" i="14"/>
  <c r="K1351" i="14"/>
  <c r="O1322" i="14"/>
  <c r="Q1322" i="14" s="1"/>
  <c r="O1296" i="14"/>
  <c r="Q1296" i="14" s="1"/>
  <c r="O1283" i="14"/>
  <c r="Q1283" i="14" s="1"/>
  <c r="O1277" i="14"/>
  <c r="Q1277" i="14" s="1"/>
  <c r="O1271" i="14"/>
  <c r="Q1271" i="14" s="1"/>
  <c r="O1219" i="14"/>
  <c r="Q1219" i="14" s="1"/>
  <c r="O1207" i="14"/>
  <c r="Q1207" i="14" s="1"/>
  <c r="L1202" i="14"/>
  <c r="Q1194" i="14"/>
  <c r="J1175" i="14"/>
  <c r="P1175" i="14" s="1"/>
  <c r="O1140" i="14"/>
  <c r="Q1140" i="14" s="1"/>
  <c r="I1122" i="14"/>
  <c r="O1122" i="14" s="1"/>
  <c r="K1112" i="14"/>
  <c r="K1105" i="14"/>
  <c r="Q1064" i="14"/>
  <c r="Q1050" i="14"/>
  <c r="Q1038" i="14"/>
  <c r="O1013" i="14"/>
  <c r="Q1013" i="14" s="1"/>
  <c r="O953" i="14"/>
  <c r="Q953" i="14" s="1"/>
  <c r="O947" i="14"/>
  <c r="Q947" i="14" s="1"/>
  <c r="O941" i="14"/>
  <c r="Q941" i="14" s="1"/>
  <c r="I926" i="14"/>
  <c r="K926" i="14" s="1"/>
  <c r="O899" i="14"/>
  <c r="Q899" i="14" s="1"/>
  <c r="P848" i="14"/>
  <c r="Q848" i="14" s="1"/>
  <c r="K830" i="14"/>
  <c r="Q758" i="14"/>
  <c r="O751" i="14"/>
  <c r="Q751" i="14" s="1"/>
  <c r="Q722" i="14"/>
  <c r="O698" i="14"/>
  <c r="Q698" i="14" s="1"/>
  <c r="I696" i="14"/>
  <c r="O696" i="14" s="1"/>
  <c r="Q696" i="14" s="1"/>
  <c r="K698" i="14"/>
  <c r="O621" i="14"/>
  <c r="Q621" i="14" s="1"/>
  <c r="K595" i="14"/>
  <c r="O595" i="14"/>
  <c r="Q595" i="14" s="1"/>
  <c r="P586" i="14"/>
  <c r="O510" i="14"/>
  <c r="Q510" i="14" s="1"/>
  <c r="K1685" i="14"/>
  <c r="O1916" i="14"/>
  <c r="Q1916" i="14" s="1"/>
  <c r="M1901" i="14"/>
  <c r="N1908" i="14"/>
  <c r="P1908" i="14"/>
  <c r="K1903" i="14"/>
  <c r="Q469" i="14"/>
  <c r="K1226" i="14"/>
  <c r="K1194" i="14"/>
  <c r="Q1123" i="14"/>
  <c r="Q1112" i="14"/>
  <c r="Q1105" i="14"/>
  <c r="Q1055" i="14"/>
  <c r="K1038" i="14"/>
  <c r="K1033" i="14"/>
  <c r="P1026" i="14"/>
  <c r="O1007" i="14"/>
  <c r="Q1007" i="14" s="1"/>
  <c r="O867" i="14"/>
  <c r="Q867" i="14" s="1"/>
  <c r="Q860" i="14"/>
  <c r="O801" i="14"/>
  <c r="Q801" i="14" s="1"/>
  <c r="J741" i="14"/>
  <c r="P741" i="14" s="1"/>
  <c r="K722" i="14"/>
  <c r="N706" i="14"/>
  <c r="O706" i="14"/>
  <c r="Q706" i="14" s="1"/>
  <c r="K678" i="14"/>
  <c r="O637" i="14"/>
  <c r="Q637" i="14" s="1"/>
  <c r="Q1561" i="14"/>
  <c r="J1611" i="14"/>
  <c r="J1608" i="14" s="1"/>
  <c r="Q1600" i="14"/>
  <c r="N1828" i="14"/>
  <c r="K1916" i="14"/>
  <c r="L1901" i="14"/>
  <c r="L1900" i="14" s="1"/>
  <c r="L1899" i="14" s="1"/>
  <c r="O1908" i="14"/>
  <c r="Q1218" i="14"/>
  <c r="P1068" i="14"/>
  <c r="Q1068" i="14" s="1"/>
  <c r="P1049" i="14"/>
  <c r="Q1049" i="14" s="1"/>
  <c r="P878" i="14"/>
  <c r="K730" i="14"/>
  <c r="O730" i="14"/>
  <c r="Q730" i="14" s="1"/>
  <c r="K1609" i="14"/>
  <c r="P1609" i="14"/>
  <c r="Q1609" i="14" s="1"/>
  <c r="Q1828" i="14"/>
  <c r="Q1740" i="14"/>
  <c r="Q119" i="14"/>
  <c r="Q284" i="14"/>
  <c r="Q268" i="14"/>
  <c r="Q431" i="14"/>
  <c r="Q410" i="14"/>
  <c r="O1110" i="14"/>
  <c r="Q1110" i="14" s="1"/>
  <c r="N1068" i="14"/>
  <c r="K1037" i="14"/>
  <c r="Q1025" i="14"/>
  <c r="K1012" i="14"/>
  <c r="K971" i="14"/>
  <c r="O946" i="14"/>
  <c r="Q946" i="14" s="1"/>
  <c r="Q912" i="14"/>
  <c r="Q807" i="14"/>
  <c r="Q757" i="14"/>
  <c r="K620" i="14"/>
  <c r="K1445" i="14"/>
  <c r="P1445" i="14"/>
  <c r="Q1445" i="14" s="1"/>
  <c r="Q1560" i="14"/>
  <c r="I1684" i="14"/>
  <c r="K1684" i="14" s="1"/>
  <c r="P1665" i="14"/>
  <c r="Q1665" i="14" s="1"/>
  <c r="J1664" i="14"/>
  <c r="J1650" i="14" s="1"/>
  <c r="Q1599" i="14"/>
  <c r="J1847" i="14"/>
  <c r="P1763" i="14"/>
  <c r="N1763" i="14"/>
  <c r="J1746" i="14"/>
  <c r="J1734" i="14" s="1"/>
  <c r="K1725" i="14"/>
  <c r="O1725" i="14"/>
  <c r="Q1725" i="14" s="1"/>
  <c r="P1912" i="14"/>
  <c r="Q1037" i="14"/>
  <c r="K552" i="14"/>
  <c r="M1539" i="14"/>
  <c r="M1531" i="14" s="1"/>
  <c r="P1540" i="14"/>
  <c r="Q1540" i="14" s="1"/>
  <c r="O1763" i="14"/>
  <c r="L1762" i="14"/>
  <c r="Q224" i="14"/>
  <c r="Q1300" i="14"/>
  <c r="L878" i="14"/>
  <c r="O878" i="14" s="1"/>
  <c r="L847" i="14"/>
  <c r="Q728" i="14"/>
  <c r="L147" i="14"/>
  <c r="O147" i="14" s="1"/>
  <c r="I257" i="14"/>
  <c r="K257" i="14" s="1"/>
  <c r="O356" i="14"/>
  <c r="Q356" i="14" s="1"/>
  <c r="N336" i="14"/>
  <c r="N485" i="14"/>
  <c r="O1261" i="14"/>
  <c r="Q1261" i="14" s="1"/>
  <c r="Q1204" i="14"/>
  <c r="Q1179" i="14"/>
  <c r="I1162" i="14"/>
  <c r="I1159" i="14" s="1"/>
  <c r="O1159" i="14" s="1"/>
  <c r="Q1159" i="14" s="1"/>
  <c r="O1144" i="14"/>
  <c r="Q1144" i="14" s="1"/>
  <c r="O1061" i="14"/>
  <c r="Q1061" i="14" s="1"/>
  <c r="O1054" i="14"/>
  <c r="Q1054" i="14" s="1"/>
  <c r="O1024" i="14"/>
  <c r="Q1024" i="14" s="1"/>
  <c r="O977" i="14"/>
  <c r="Q977" i="14" s="1"/>
  <c r="O945" i="14"/>
  <c r="Q945" i="14" s="1"/>
  <c r="O931" i="14"/>
  <c r="Q931" i="14" s="1"/>
  <c r="I609" i="14"/>
  <c r="O609" i="14" s="1"/>
  <c r="O558" i="14"/>
  <c r="Q558" i="14" s="1"/>
  <c r="Q544" i="14"/>
  <c r="Q1861" i="14"/>
  <c r="O1839" i="14"/>
  <c r="Q1839" i="14" s="1"/>
  <c r="O1724" i="14"/>
  <c r="Q1724" i="14" s="1"/>
  <c r="Q245" i="14"/>
  <c r="M314" i="14"/>
  <c r="Q454" i="14"/>
  <c r="Q393" i="14"/>
  <c r="M384" i="14"/>
  <c r="P384" i="14" s="1"/>
  <c r="Q375" i="14"/>
  <c r="O1320" i="14"/>
  <c r="Q1320" i="14" s="1"/>
  <c r="O1294" i="14"/>
  <c r="Q1294" i="14" s="1"/>
  <c r="I1280" i="14"/>
  <c r="O1280" i="14" s="1"/>
  <c r="Q1280" i="14" s="1"/>
  <c r="K1109" i="14"/>
  <c r="O1083" i="14"/>
  <c r="Q1083" i="14" s="1"/>
  <c r="K1075" i="14"/>
  <c r="Q1004" i="14"/>
  <c r="Q984" i="14"/>
  <c r="Q937" i="14"/>
  <c r="Q925" i="14"/>
  <c r="O903" i="14"/>
  <c r="Q903" i="14" s="1"/>
  <c r="Q864" i="14"/>
  <c r="Q846" i="14"/>
  <c r="O834" i="14"/>
  <c r="Q834" i="14" s="1"/>
  <c r="I806" i="14"/>
  <c r="O806" i="14" s="1"/>
  <c r="Q806" i="14" s="1"/>
  <c r="K720" i="14"/>
  <c r="P634" i="14"/>
  <c r="J631" i="14"/>
  <c r="P631" i="14" s="1"/>
  <c r="Q1484" i="14"/>
  <c r="O1558" i="14"/>
  <c r="O1689" i="14"/>
  <c r="Q1689" i="14" s="1"/>
  <c r="O1869" i="14"/>
  <c r="Q1869" i="14" s="1"/>
  <c r="I1850" i="14"/>
  <c r="O1850" i="14" s="1"/>
  <c r="O1853" i="14"/>
  <c r="Q1853" i="14" s="1"/>
  <c r="O1913" i="14"/>
  <c r="Q1913" i="14" s="1"/>
  <c r="Q229" i="14"/>
  <c r="I223" i="14"/>
  <c r="O223" i="14" s="1"/>
  <c r="Q362" i="14"/>
  <c r="I353" i="14"/>
  <c r="O353" i="14" s="1"/>
  <c r="Q353" i="14" s="1"/>
  <c r="Q329" i="14"/>
  <c r="Q484" i="14"/>
  <c r="Q417" i="14"/>
  <c r="Q409" i="14"/>
  <c r="Q1253" i="14"/>
  <c r="Q998" i="14"/>
  <c r="Q870" i="14"/>
  <c r="I744" i="14"/>
  <c r="O744" i="14" s="1"/>
  <c r="Q744" i="14" s="1"/>
  <c r="Q608" i="14"/>
  <c r="Q534" i="14"/>
  <c r="J498" i="14"/>
  <c r="P498" i="14" s="1"/>
  <c r="P499" i="14"/>
  <c r="Q1491" i="14"/>
  <c r="N1473" i="14"/>
  <c r="O1473" i="14"/>
  <c r="Q1473" i="14" s="1"/>
  <c r="L1454" i="14"/>
  <c r="Q1419" i="14"/>
  <c r="K1399" i="14"/>
  <c r="O1399" i="14"/>
  <c r="Q1399" i="14" s="1"/>
  <c r="I1397" i="14"/>
  <c r="I1396" i="14" s="1"/>
  <c r="K1396" i="14" s="1"/>
  <c r="K1614" i="14"/>
  <c r="P1614" i="14"/>
  <c r="Q1614" i="14" s="1"/>
  <c r="N1869" i="14"/>
  <c r="O1832" i="14"/>
  <c r="Q1832" i="14" s="1"/>
  <c r="Q1811" i="14"/>
  <c r="P1783" i="14"/>
  <c r="Q1783" i="14" s="1"/>
  <c r="Q1770" i="14"/>
  <c r="M1762" i="14"/>
  <c r="K1443" i="14"/>
  <c r="P1443" i="14"/>
  <c r="Q1443" i="14" s="1"/>
  <c r="N1436" i="14"/>
  <c r="O1436" i="14"/>
  <c r="Q1436" i="14" s="1"/>
  <c r="L1435" i="14"/>
  <c r="L1402" i="14"/>
  <c r="L1396" i="14" s="1"/>
  <c r="O1405" i="14"/>
  <c r="Q1405" i="14" s="1"/>
  <c r="I1840" i="14"/>
  <c r="Q1838" i="14"/>
  <c r="Q1791" i="14"/>
  <c r="Q1305" i="14"/>
  <c r="Q1155" i="14"/>
  <c r="J1108" i="14"/>
  <c r="Q825" i="14"/>
  <c r="K649" i="14"/>
  <c r="O649" i="14"/>
  <c r="Q649" i="14" s="1"/>
  <c r="K1556" i="14"/>
  <c r="O1556" i="14"/>
  <c r="Q1556" i="14" s="1"/>
  <c r="L1671" i="14"/>
  <c r="N1671" i="14" s="1"/>
  <c r="K1860" i="14"/>
  <c r="O1860" i="14"/>
  <c r="Q1860" i="14" s="1"/>
  <c r="Q178" i="14"/>
  <c r="J158" i="14"/>
  <c r="K304" i="14"/>
  <c r="Q466" i="14"/>
  <c r="Q416" i="14"/>
  <c r="Q374" i="14"/>
  <c r="Q1244" i="14"/>
  <c r="Q1230" i="14"/>
  <c r="Q1209" i="14"/>
  <c r="Q1198" i="14"/>
  <c r="Q1177" i="14"/>
  <c r="Q1107" i="14"/>
  <c r="I1051" i="14"/>
  <c r="O1051" i="14" s="1"/>
  <c r="Q1051" i="14" s="1"/>
  <c r="Q901" i="14"/>
  <c r="Q786" i="14"/>
  <c r="L762" i="14"/>
  <c r="O763" i="14"/>
  <c r="Q701" i="14"/>
  <c r="K542" i="14"/>
  <c r="O542" i="14"/>
  <c r="Q542" i="14" s="1"/>
  <c r="P1435" i="14"/>
  <c r="N1405" i="14"/>
  <c r="Q1679" i="14"/>
  <c r="K1844" i="14"/>
  <c r="O1844" i="14"/>
  <c r="Q1844" i="14" s="1"/>
  <c r="Q1715" i="14"/>
  <c r="O824" i="14"/>
  <c r="Q824" i="14" s="1"/>
  <c r="P818" i="14"/>
  <c r="Q818" i="14" s="1"/>
  <c r="O784" i="14"/>
  <c r="Q784" i="14" s="1"/>
  <c r="O777" i="14"/>
  <c r="Q777" i="14" s="1"/>
  <c r="K750" i="14"/>
  <c r="K599" i="14"/>
  <c r="Q591" i="14"/>
  <c r="I1440" i="14"/>
  <c r="P1616" i="14"/>
  <c r="Q1616" i="14" s="1"/>
  <c r="P1612" i="14"/>
  <c r="Q1612" i="14" s="1"/>
  <c r="Q1868" i="14"/>
  <c r="O829" i="14"/>
  <c r="Q829" i="14" s="1"/>
  <c r="K800" i="14"/>
  <c r="Q750" i="14"/>
  <c r="Q632" i="14"/>
  <c r="K591" i="14"/>
  <c r="P577" i="14"/>
  <c r="O551" i="14"/>
  <c r="Q551" i="14" s="1"/>
  <c r="O1426" i="14"/>
  <c r="Q1426" i="14" s="1"/>
  <c r="M1402" i="14"/>
  <c r="P1390" i="14"/>
  <c r="Q1390" i="14" s="1"/>
  <c r="K1570" i="14"/>
  <c r="Q1537" i="14"/>
  <c r="O1676" i="14"/>
  <c r="Q1676" i="14" s="1"/>
  <c r="P1668" i="14"/>
  <c r="O1631" i="14"/>
  <c r="Q1631" i="14" s="1"/>
  <c r="Q1621" i="14"/>
  <c r="Q1605" i="14"/>
  <c r="O1878" i="14"/>
  <c r="Q1878" i="14" s="1"/>
  <c r="O1873" i="14"/>
  <c r="Q1873" i="14" s="1"/>
  <c r="K1858" i="14"/>
  <c r="O1727" i="14"/>
  <c r="Q1727" i="14" s="1"/>
  <c r="P1915" i="14"/>
  <c r="Q756" i="14"/>
  <c r="Q749" i="14"/>
  <c r="P653" i="14"/>
  <c r="O626" i="14"/>
  <c r="Q626" i="14" s="1"/>
  <c r="Q618" i="14"/>
  <c r="Q537" i="14"/>
  <c r="Q1395" i="14"/>
  <c r="Q1570" i="14"/>
  <c r="O1559" i="14"/>
  <c r="Q1559" i="14" s="1"/>
  <c r="O1688" i="14"/>
  <c r="Q1688" i="14" s="1"/>
  <c r="O1668" i="14"/>
  <c r="O1862" i="14"/>
  <c r="Q1862" i="14" s="1"/>
  <c r="O1846" i="14"/>
  <c r="Q1846" i="14" s="1"/>
  <c r="O1816" i="14"/>
  <c r="Q1816" i="14" s="1"/>
  <c r="P1809" i="14"/>
  <c r="P1804" i="14"/>
  <c r="Q1798" i="14"/>
  <c r="O1775" i="14"/>
  <c r="Q1775" i="14" s="1"/>
  <c r="O1771" i="14"/>
  <c r="Q1771" i="14" s="1"/>
  <c r="O1767" i="14"/>
  <c r="Q1767" i="14" s="1"/>
  <c r="O1761" i="14"/>
  <c r="Q1761" i="14" s="1"/>
  <c r="O1905" i="14"/>
  <c r="Q1905" i="14" s="1"/>
  <c r="Q783" i="14"/>
  <c r="Q668" i="14"/>
  <c r="Q531" i="14"/>
  <c r="Q1462" i="14"/>
  <c r="Q1382" i="14"/>
  <c r="O1576" i="14"/>
  <c r="Q1576" i="14" s="1"/>
  <c r="Q1564" i="14"/>
  <c r="N1559" i="14"/>
  <c r="K1668" i="14"/>
  <c r="O1867" i="14"/>
  <c r="Q1867" i="14" s="1"/>
  <c r="O1809" i="14"/>
  <c r="Q1789" i="14"/>
  <c r="K1651" i="14"/>
  <c r="Q1448" i="14"/>
  <c r="K1431" i="14"/>
  <c r="Q1425" i="14"/>
  <c r="Q1376" i="14"/>
  <c r="N1662" i="14"/>
  <c r="K1756" i="14"/>
  <c r="Q1749" i="14"/>
  <c r="P1731" i="14"/>
  <c r="N1558" i="14"/>
  <c r="Q732" i="14"/>
  <c r="O610" i="14"/>
  <c r="Q610" i="14" s="1"/>
  <c r="J550" i="14"/>
  <c r="K504" i="14"/>
  <c r="J1430" i="14"/>
  <c r="J1408" i="14" s="1"/>
  <c r="Q1411" i="14"/>
  <c r="Q1400" i="14"/>
  <c r="I1364" i="14"/>
  <c r="O1364" i="14" s="1"/>
  <c r="Q1697" i="14"/>
  <c r="I1675" i="14"/>
  <c r="I1674" i="14" s="1"/>
  <c r="K1674" i="14" s="1"/>
  <c r="M1638" i="14"/>
  <c r="K1630" i="14"/>
  <c r="Q1603" i="14"/>
  <c r="K1872" i="14"/>
  <c r="O1845" i="14"/>
  <c r="M1827" i="14"/>
  <c r="M1815" i="14" s="1"/>
  <c r="Q1824" i="14"/>
  <c r="Q1712" i="14"/>
  <c r="J765" i="14"/>
  <c r="M1557" i="14"/>
  <c r="M1548" i="14" s="1"/>
  <c r="P1548" i="14" s="1"/>
  <c r="L1619" i="14"/>
  <c r="O1619" i="14" s="1"/>
  <c r="Q1619" i="14" s="1"/>
  <c r="L1827" i="14"/>
  <c r="L1815" i="14" s="1"/>
  <c r="L1814" i="14" s="1"/>
  <c r="O798" i="14"/>
  <c r="Q798" i="14" s="1"/>
  <c r="P789" i="14"/>
  <c r="O718" i="14"/>
  <c r="Q718" i="14" s="1"/>
  <c r="I665" i="14"/>
  <c r="O665" i="14" s="1"/>
  <c r="N561" i="14"/>
  <c r="K543" i="14"/>
  <c r="Q535" i="14"/>
  <c r="O1497" i="14"/>
  <c r="Q1497" i="14" s="1"/>
  <c r="O1424" i="14"/>
  <c r="Q1424" i="14" s="1"/>
  <c r="N1417" i="14"/>
  <c r="O1529" i="14"/>
  <c r="O1881" i="14"/>
  <c r="Q1881" i="14" s="1"/>
  <c r="P1802" i="14"/>
  <c r="Q1802" i="14" s="1"/>
  <c r="Q1759" i="14"/>
  <c r="O1748" i="14"/>
  <c r="Q1748" i="14" s="1"/>
  <c r="N1711" i="14"/>
  <c r="O1914" i="14"/>
  <c r="Q1914" i="14" s="1"/>
  <c r="O1907" i="14"/>
  <c r="Q1907" i="14" s="1"/>
  <c r="O724" i="14"/>
  <c r="Q724" i="14" s="1"/>
  <c r="M615" i="14"/>
  <c r="O508" i="14"/>
  <c r="Q508" i="14" s="1"/>
  <c r="O1492" i="14"/>
  <c r="Q1492" i="14" s="1"/>
  <c r="P1567" i="14"/>
  <c r="Q1686" i="14"/>
  <c r="K1648" i="14"/>
  <c r="O1636" i="14"/>
  <c r="Q1636" i="14" s="1"/>
  <c r="P1602" i="14"/>
  <c r="Q1602" i="14" s="1"/>
  <c r="Q1854" i="14"/>
  <c r="Q1711" i="14"/>
  <c r="O803" i="14"/>
  <c r="Q803" i="14" s="1"/>
  <c r="L1412" i="14"/>
  <c r="L1408" i="14" s="1"/>
  <c r="P1534" i="14"/>
  <c r="Q1534" i="14" s="1"/>
  <c r="N1696" i="14"/>
  <c r="Q689" i="14"/>
  <c r="Q678" i="14"/>
  <c r="N560" i="14"/>
  <c r="Q1465" i="14"/>
  <c r="Q1696" i="14"/>
  <c r="Q1685" i="14"/>
  <c r="Q1641" i="14"/>
  <c r="Q1796" i="14"/>
  <c r="Q1780" i="14"/>
  <c r="Q766" i="14"/>
  <c r="M1453" i="14"/>
  <c r="Q1416" i="14"/>
  <c r="Q1578" i="14"/>
  <c r="Q1528" i="14"/>
  <c r="I1647" i="14"/>
  <c r="O1647" i="14" s="1"/>
  <c r="Q1635" i="14"/>
  <c r="L1710" i="14"/>
  <c r="M1865" i="14"/>
  <c r="J1850" i="14"/>
  <c r="O1830" i="14"/>
  <c r="Q1830" i="14" s="1"/>
  <c r="P1730" i="14"/>
  <c r="N1830" i="14"/>
  <c r="N1804" i="14"/>
  <c r="O1804" i="14"/>
  <c r="P1747" i="14"/>
  <c r="I1730" i="14"/>
  <c r="O1730" i="14" s="1"/>
  <c r="J1778" i="14"/>
  <c r="O1731" i="14"/>
  <c r="M1710" i="14"/>
  <c r="Q1648" i="14"/>
  <c r="P1671" i="14"/>
  <c r="M1670" i="14"/>
  <c r="J1680" i="14"/>
  <c r="M1658" i="14"/>
  <c r="P1634" i="14"/>
  <c r="P1684" i="14"/>
  <c r="P1672" i="14"/>
  <c r="Q1672" i="14" s="1"/>
  <c r="J1670" i="14"/>
  <c r="N1672" i="14"/>
  <c r="J1647" i="14"/>
  <c r="P1693" i="14"/>
  <c r="P1662" i="14"/>
  <c r="Q1662" i="14" s="1"/>
  <c r="O1620" i="14"/>
  <c r="M1608" i="14"/>
  <c r="P1651" i="14"/>
  <c r="Q1651" i="14" s="1"/>
  <c r="N1569" i="14"/>
  <c r="O1572" i="14"/>
  <c r="N1572" i="14"/>
  <c r="J1508" i="14"/>
  <c r="P1558" i="14"/>
  <c r="J1569" i="14"/>
  <c r="P1551" i="14"/>
  <c r="L1437" i="14"/>
  <c r="O1446" i="14"/>
  <c r="P1420" i="14"/>
  <c r="P1434" i="14"/>
  <c r="Q1365" i="14"/>
  <c r="O1417" i="14"/>
  <c r="Q1417" i="14" s="1"/>
  <c r="K1365" i="14"/>
  <c r="O1413" i="14"/>
  <c r="Q1413" i="14" s="1"/>
  <c r="P1447" i="14"/>
  <c r="P1423" i="14"/>
  <c r="O1447" i="14"/>
  <c r="M1412" i="14"/>
  <c r="I1430" i="14"/>
  <c r="O1430" i="14" s="1"/>
  <c r="P1454" i="14"/>
  <c r="P1431" i="14"/>
  <c r="Q1431" i="14" s="1"/>
  <c r="P1392" i="14"/>
  <c r="J1364" i="14"/>
  <c r="I113" i="14"/>
  <c r="O113" i="14" s="1"/>
  <c r="O114" i="14"/>
  <c r="P1335" i="14"/>
  <c r="J1334" i="14"/>
  <c r="P1272" i="14"/>
  <c r="J1269" i="14"/>
  <c r="P1103" i="14"/>
  <c r="J1100" i="14"/>
  <c r="P1317" i="14"/>
  <c r="Q442" i="14"/>
  <c r="I1301" i="14"/>
  <c r="O673" i="14"/>
  <c r="Q673" i="14" s="1"/>
  <c r="J90" i="14"/>
  <c r="K91" i="14"/>
  <c r="P91" i="14"/>
  <c r="L400" i="14"/>
  <c r="L389" i="14" s="1"/>
  <c r="N401" i="14"/>
  <c r="O401" i="14"/>
  <c r="Q401" i="14" s="1"/>
  <c r="I1312" i="14"/>
  <c r="K1313" i="14"/>
  <c r="O1313" i="14"/>
  <c r="Q1313" i="14" s="1"/>
  <c r="K1189" i="14"/>
  <c r="O1189" i="14"/>
  <c r="Q1189" i="14" s="1"/>
  <c r="I90" i="14"/>
  <c r="O90" i="14" s="1"/>
  <c r="O91" i="14"/>
  <c r="J214" i="14"/>
  <c r="P214" i="14" s="1"/>
  <c r="P217" i="14"/>
  <c r="K1339" i="14"/>
  <c r="O1339" i="14"/>
  <c r="Q1339" i="14" s="1"/>
  <c r="I1250" i="14"/>
  <c r="O1250" i="14" s="1"/>
  <c r="K1251" i="14"/>
  <c r="O1251" i="14"/>
  <c r="Q1251" i="14" s="1"/>
  <c r="Q137" i="14"/>
  <c r="O115" i="14"/>
  <c r="Q115" i="14" s="1"/>
  <c r="K261" i="14"/>
  <c r="K232" i="14"/>
  <c r="O232" i="14"/>
  <c r="Q232" i="14" s="1"/>
  <c r="N338" i="14"/>
  <c r="Q1243" i="14"/>
  <c r="Q1206" i="14"/>
  <c r="Q1166" i="14"/>
  <c r="K83" i="14"/>
  <c r="O83" i="14"/>
  <c r="Q83" i="14" s="1"/>
  <c r="M1311" i="14"/>
  <c r="P1330" i="14"/>
  <c r="K1305" i="14"/>
  <c r="K1263" i="14"/>
  <c r="O1263" i="14"/>
  <c r="Q1263" i="14" s="1"/>
  <c r="P343" i="14"/>
  <c r="K407" i="14"/>
  <c r="I392" i="14"/>
  <c r="K398" i="14"/>
  <c r="O398" i="14"/>
  <c r="Q398" i="14" s="1"/>
  <c r="N1288" i="14"/>
  <c r="O1288" i="14"/>
  <c r="Q1288" i="14" s="1"/>
  <c r="L1287" i="14"/>
  <c r="K1193" i="14"/>
  <c r="O1193" i="14"/>
  <c r="Q1193" i="14" s="1"/>
  <c r="K1077" i="14"/>
  <c r="O1077" i="14"/>
  <c r="Q1077" i="14" s="1"/>
  <c r="O1229" i="14"/>
  <c r="Q1229" i="14" s="1"/>
  <c r="L817" i="14"/>
  <c r="O820" i="14"/>
  <c r="J135" i="14"/>
  <c r="P136" i="14"/>
  <c r="K1256" i="14"/>
  <c r="O1256" i="14"/>
  <c r="Q1256" i="14" s="1"/>
  <c r="Q154" i="14"/>
  <c r="K187" i="14"/>
  <c r="O187" i="14"/>
  <c r="Q187" i="14" s="1"/>
  <c r="N142" i="14"/>
  <c r="N307" i="14"/>
  <c r="O301" i="14"/>
  <c r="Q301" i="14" s="1"/>
  <c r="K301" i="14"/>
  <c r="K1248" i="14"/>
  <c r="O1248" i="14"/>
  <c r="Q1248" i="14" s="1"/>
  <c r="K1229" i="14"/>
  <c r="O1126" i="14"/>
  <c r="Q1126" i="14" s="1"/>
  <c r="O1090" i="14"/>
  <c r="Q1090" i="14" s="1"/>
  <c r="K1090" i="14"/>
  <c r="M1286" i="14"/>
  <c r="P1287" i="14"/>
  <c r="K1336" i="14"/>
  <c r="P1336" i="14"/>
  <c r="I244" i="14"/>
  <c r="I241" i="14" s="1"/>
  <c r="I240" i="14" s="1"/>
  <c r="K324" i="14"/>
  <c r="O324" i="14"/>
  <c r="Q324" i="14" s="1"/>
  <c r="N464" i="14"/>
  <c r="O464" i="14"/>
  <c r="Q464" i="14" s="1"/>
  <c r="P1008" i="14"/>
  <c r="J1005" i="14"/>
  <c r="N481" i="14"/>
  <c r="O481" i="14"/>
  <c r="Q481" i="14" s="1"/>
  <c r="O1141" i="14"/>
  <c r="Q1141" i="14" s="1"/>
  <c r="I1138" i="14"/>
  <c r="O1138" i="14" s="1"/>
  <c r="K1141" i="14"/>
  <c r="L934" i="14"/>
  <c r="N936" i="14"/>
  <c r="O936" i="14"/>
  <c r="Q936" i="14" s="1"/>
  <c r="Q480" i="14"/>
  <c r="N463" i="14"/>
  <c r="O463" i="14"/>
  <c r="Q463" i="14" s="1"/>
  <c r="I161" i="14"/>
  <c r="K161" i="14" s="1"/>
  <c r="Q308" i="14"/>
  <c r="N277" i="14"/>
  <c r="O277" i="14"/>
  <c r="Q277" i="14" s="1"/>
  <c r="L273" i="14"/>
  <c r="N273" i="14" s="1"/>
  <c r="O275" i="14"/>
  <c r="Q275" i="14" s="1"/>
  <c r="P1347" i="14"/>
  <c r="Q1347" i="14" s="1"/>
  <c r="J1345" i="14"/>
  <c r="K1347" i="14"/>
  <c r="K221" i="14"/>
  <c r="O221" i="14"/>
  <c r="Q221" i="14" s="1"/>
  <c r="I404" i="14"/>
  <c r="O404" i="14" s="1"/>
  <c r="K298" i="14"/>
  <c r="O298" i="14"/>
  <c r="Q298" i="14" s="1"/>
  <c r="K1328" i="14"/>
  <c r="O1328" i="14"/>
  <c r="Q1328" i="14" s="1"/>
  <c r="K1252" i="14"/>
  <c r="O1252" i="14"/>
  <c r="Q1252" i="14" s="1"/>
  <c r="O296" i="14"/>
  <c r="Q296" i="14" s="1"/>
  <c r="J241" i="14"/>
  <c r="J240" i="14" s="1"/>
  <c r="P244" i="14"/>
  <c r="K160" i="14"/>
  <c r="O160" i="14"/>
  <c r="Q160" i="14" s="1"/>
  <c r="I185" i="14"/>
  <c r="P1227" i="14"/>
  <c r="O93" i="14"/>
  <c r="Q93" i="14" s="1"/>
  <c r="K93" i="14"/>
  <c r="Q157" i="14"/>
  <c r="P132" i="14"/>
  <c r="L360" i="14"/>
  <c r="N360" i="14" s="1"/>
  <c r="O361" i="14"/>
  <c r="P411" i="14"/>
  <c r="Q411" i="14" s="1"/>
  <c r="N411" i="14"/>
  <c r="N388" i="14"/>
  <c r="O388" i="14"/>
  <c r="Q388" i="14" s="1"/>
  <c r="L387" i="14"/>
  <c r="L384" i="14" s="1"/>
  <c r="N820" i="14"/>
  <c r="P820" i="14"/>
  <c r="M817" i="14"/>
  <c r="M414" i="14"/>
  <c r="M413" i="14" s="1"/>
  <c r="P415" i="14"/>
  <c r="I85" i="14"/>
  <c r="K85" i="14" s="1"/>
  <c r="K86" i="14"/>
  <c r="O86" i="14"/>
  <c r="Q86" i="14" s="1"/>
  <c r="N157" i="14"/>
  <c r="K219" i="14"/>
  <c r="O219" i="14"/>
  <c r="Q219" i="14" s="1"/>
  <c r="I217" i="14"/>
  <c r="P485" i="14"/>
  <c r="Q485" i="14" s="1"/>
  <c r="O1329" i="14"/>
  <c r="Q1329" i="14" s="1"/>
  <c r="I1325" i="14"/>
  <c r="O1325" i="14" s="1"/>
  <c r="K1157" i="14"/>
  <c r="I1154" i="14"/>
  <c r="O1157" i="14"/>
  <c r="Q1157" i="14" s="1"/>
  <c r="K1131" i="14"/>
  <c r="O1131" i="14"/>
  <c r="Q1131" i="14" s="1"/>
  <c r="I1130" i="14"/>
  <c r="K780" i="14"/>
  <c r="O780" i="14"/>
  <c r="Q780" i="14" s="1"/>
  <c r="K673" i="14"/>
  <c r="P185" i="14"/>
  <c r="O163" i="14"/>
  <c r="Q163" i="14" s="1"/>
  <c r="P142" i="14"/>
  <c r="Q142" i="14" s="1"/>
  <c r="O121" i="14"/>
  <c r="P114" i="14"/>
  <c r="Q283" i="14"/>
  <c r="Q218" i="14"/>
  <c r="P361" i="14"/>
  <c r="Q349" i="14"/>
  <c r="P315" i="14"/>
  <c r="Q315" i="14" s="1"/>
  <c r="P307" i="14"/>
  <c r="Q307" i="14" s="1"/>
  <c r="O458" i="14"/>
  <c r="Q458" i="14" s="1"/>
  <c r="O419" i="14"/>
  <c r="Q419" i="14" s="1"/>
  <c r="O1237" i="14"/>
  <c r="Q1237" i="14" s="1"/>
  <c r="L603" i="14"/>
  <c r="O605" i="14"/>
  <c r="Q605" i="14" s="1"/>
  <c r="N605" i="14"/>
  <c r="K695" i="14"/>
  <c r="O695" i="14"/>
  <c r="Q695" i="14" s="1"/>
  <c r="O202" i="14"/>
  <c r="Q202" i="14" s="1"/>
  <c r="Q172" i="14"/>
  <c r="O148" i="14"/>
  <c r="Q148" i="14" s="1"/>
  <c r="O260" i="14"/>
  <c r="Q260" i="14" s="1"/>
  <c r="Q355" i="14"/>
  <c r="I297" i="14"/>
  <c r="Q424" i="14"/>
  <c r="O1281" i="14"/>
  <c r="Q1281" i="14" s="1"/>
  <c r="O1201" i="14"/>
  <c r="Q1201" i="14" s="1"/>
  <c r="O1197" i="14"/>
  <c r="Q1197" i="14" s="1"/>
  <c r="K1192" i="14"/>
  <c r="O1192" i="14"/>
  <c r="Q1192" i="14" s="1"/>
  <c r="K1183" i="14"/>
  <c r="O1183" i="14"/>
  <c r="Q1183" i="14" s="1"/>
  <c r="K1136" i="14"/>
  <c r="O1136" i="14"/>
  <c r="Q1136" i="14" s="1"/>
  <c r="O1082" i="14"/>
  <c r="Q1082" i="14" s="1"/>
  <c r="K943" i="14"/>
  <c r="O943" i="14"/>
  <c r="Q943" i="14" s="1"/>
  <c r="P788" i="14"/>
  <c r="M765" i="14"/>
  <c r="K202" i="14"/>
  <c r="K114" i="14"/>
  <c r="N361" i="14"/>
  <c r="N315" i="14"/>
  <c r="K1281" i="14"/>
  <c r="K1228" i="14"/>
  <c r="O1228" i="14"/>
  <c r="Q1228" i="14" s="1"/>
  <c r="I1073" i="14"/>
  <c r="O1073" i="14" s="1"/>
  <c r="Q533" i="14"/>
  <c r="Q331" i="14"/>
  <c r="P326" i="14"/>
  <c r="P1246" i="14"/>
  <c r="J1167" i="14"/>
  <c r="P1170" i="14"/>
  <c r="Q1075" i="14"/>
  <c r="J987" i="14"/>
  <c r="P990" i="14"/>
  <c r="O971" i="14"/>
  <c r="Q971" i="14" s="1"/>
  <c r="O708" i="14"/>
  <c r="K540" i="14"/>
  <c r="K1338" i="14"/>
  <c r="O1338" i="14"/>
  <c r="Q1338" i="14" s="1"/>
  <c r="K982" i="14"/>
  <c r="I981" i="14"/>
  <c r="O981" i="14" s="1"/>
  <c r="O982" i="14"/>
  <c r="Q982" i="14" s="1"/>
  <c r="Q725" i="14"/>
  <c r="K647" i="14"/>
  <c r="O647" i="14"/>
  <c r="Q647" i="14" s="1"/>
  <c r="I643" i="14"/>
  <c r="I640" i="14" s="1"/>
  <c r="O640" i="14" s="1"/>
  <c r="K546" i="14"/>
  <c r="O546" i="14"/>
  <c r="Q546" i="14" s="1"/>
  <c r="Q312" i="14"/>
  <c r="K1022" i="14"/>
  <c r="O1022" i="14"/>
  <c r="Q1022" i="14" s="1"/>
  <c r="J792" i="14"/>
  <c r="K111" i="14"/>
  <c r="N428" i="14"/>
  <c r="Q391" i="14"/>
  <c r="K924" i="14"/>
  <c r="O924" i="14"/>
  <c r="Q924" i="14" s="1"/>
  <c r="M1264" i="14"/>
  <c r="P1265" i="14"/>
  <c r="I1215" i="14"/>
  <c r="O1215" i="14" s="1"/>
  <c r="O1217" i="14"/>
  <c r="Q1217" i="14" s="1"/>
  <c r="K863" i="14"/>
  <c r="O863" i="14"/>
  <c r="Q863" i="14" s="1"/>
  <c r="K840" i="14"/>
  <c r="O840" i="14"/>
  <c r="Q840" i="14" s="1"/>
  <c r="K94" i="14"/>
  <c r="Q151" i="14"/>
  <c r="O117" i="14"/>
  <c r="K110" i="14"/>
  <c r="K280" i="14"/>
  <c r="M270" i="14"/>
  <c r="P270" i="14" s="1"/>
  <c r="M250" i="14"/>
  <c r="Q352" i="14"/>
  <c r="L311" i="14"/>
  <c r="O311" i="14" s="1"/>
  <c r="Q311" i="14" s="1"/>
  <c r="N1331" i="14"/>
  <c r="O1307" i="14"/>
  <c r="Q1307" i="14" s="1"/>
  <c r="Q1302" i="14"/>
  <c r="L1264" i="14"/>
  <c r="O1265" i="14"/>
  <c r="P1235" i="14"/>
  <c r="O1149" i="14"/>
  <c r="Q1149" i="14" s="1"/>
  <c r="O1094" i="14"/>
  <c r="Q1094" i="14" s="1"/>
  <c r="O1057" i="14"/>
  <c r="Q1057" i="14" s="1"/>
  <c r="K1057" i="14"/>
  <c r="K1015" i="14"/>
  <c r="O1015" i="14"/>
  <c r="Q1015" i="14" s="1"/>
  <c r="J996" i="14"/>
  <c r="P999" i="14"/>
  <c r="O918" i="14"/>
  <c r="Q918" i="14" s="1"/>
  <c r="P911" i="14"/>
  <c r="Q911" i="14" s="1"/>
  <c r="M905" i="14"/>
  <c r="L704" i="14"/>
  <c r="O705" i="14"/>
  <c r="Q110" i="14"/>
  <c r="L452" i="14"/>
  <c r="O452" i="14" s="1"/>
  <c r="K396" i="14"/>
  <c r="P1325" i="14"/>
  <c r="K1274" i="14"/>
  <c r="O1274" i="14"/>
  <c r="Q1274" i="14" s="1"/>
  <c r="O1259" i="14"/>
  <c r="Q1259" i="14" s="1"/>
  <c r="Q1254" i="14"/>
  <c r="O1239" i="14"/>
  <c r="Q1239" i="14" s="1"/>
  <c r="O1199" i="14"/>
  <c r="Q1199" i="14" s="1"/>
  <c r="K1149" i="14"/>
  <c r="K1139" i="14"/>
  <c r="K1094" i="14"/>
  <c r="O1084" i="14"/>
  <c r="Q1084" i="14" s="1"/>
  <c r="O1010" i="14"/>
  <c r="Q1010" i="14" s="1"/>
  <c r="O923" i="14"/>
  <c r="Q923" i="14" s="1"/>
  <c r="Q868" i="14"/>
  <c r="I577" i="14"/>
  <c r="K577" i="14" s="1"/>
  <c r="K581" i="14"/>
  <c r="O581" i="14"/>
  <c r="Q581" i="14" s="1"/>
  <c r="P234" i="14"/>
  <c r="Q175" i="14"/>
  <c r="Q150" i="14"/>
  <c r="N334" i="14"/>
  <c r="N438" i="14"/>
  <c r="O438" i="14"/>
  <c r="Q438" i="14" s="1"/>
  <c r="Q432" i="14"/>
  <c r="Q421" i="14"/>
  <c r="N409" i="14"/>
  <c r="O1072" i="14"/>
  <c r="Q1072" i="14" s="1"/>
  <c r="N1046" i="14"/>
  <c r="O1046" i="14"/>
  <c r="Q1046" i="14" s="1"/>
  <c r="K1232" i="14"/>
  <c r="O1232" i="14"/>
  <c r="Q1232" i="14" s="1"/>
  <c r="I347" i="14"/>
  <c r="K347" i="14" s="1"/>
  <c r="Q222" i="14"/>
  <c r="L408" i="14"/>
  <c r="L403" i="14" s="1"/>
  <c r="I1235" i="14"/>
  <c r="I1195" i="14"/>
  <c r="O1195" i="14" s="1"/>
  <c r="Q1195" i="14" s="1"/>
  <c r="O1114" i="14"/>
  <c r="Q1114" i="14" s="1"/>
  <c r="I1111" i="14"/>
  <c r="I1081" i="14"/>
  <c r="K838" i="14"/>
  <c r="O838" i="14"/>
  <c r="Q838" i="14" s="1"/>
  <c r="I836" i="14"/>
  <c r="O836" i="14" s="1"/>
  <c r="Q359" i="14"/>
  <c r="Q407" i="14"/>
  <c r="P382" i="14"/>
  <c r="O1341" i="14"/>
  <c r="Q1341" i="14" s="1"/>
  <c r="I1340" i="14"/>
  <c r="I1337" i="14" s="1"/>
  <c r="O962" i="14"/>
  <c r="Q962" i="14" s="1"/>
  <c r="P948" i="14"/>
  <c r="N791" i="14"/>
  <c r="O791" i="14"/>
  <c r="Q791" i="14" s="1"/>
  <c r="L789" i="14"/>
  <c r="O659" i="14"/>
  <c r="J199" i="14"/>
  <c r="P199" i="14" s="1"/>
  <c r="Q357" i="14"/>
  <c r="J82" i="14"/>
  <c r="P82" i="14" s="1"/>
  <c r="Q149" i="14"/>
  <c r="Q144" i="14"/>
  <c r="Q122" i="14"/>
  <c r="Q350" i="14"/>
  <c r="N344" i="14"/>
  <c r="Q448" i="14"/>
  <c r="J1135" i="14"/>
  <c r="P1138" i="14"/>
  <c r="J1127" i="14"/>
  <c r="Q967" i="14"/>
  <c r="I866" i="14"/>
  <c r="O873" i="14"/>
  <c r="Q873" i="14" s="1"/>
  <c r="K1071" i="14"/>
  <c r="O1071" i="14"/>
  <c r="Q1071" i="14" s="1"/>
  <c r="K677" i="14"/>
  <c r="O677" i="14"/>
  <c r="Q677" i="14" s="1"/>
  <c r="K378" i="14"/>
  <c r="K373" i="14"/>
  <c r="K1276" i="14"/>
  <c r="O1276" i="14"/>
  <c r="Q1276" i="14" s="1"/>
  <c r="K1163" i="14"/>
  <c r="K1053" i="14"/>
  <c r="K975" i="14"/>
  <c r="O855" i="14"/>
  <c r="Q855" i="14" s="1"/>
  <c r="K656" i="14"/>
  <c r="O656" i="14"/>
  <c r="Q656" i="14" s="1"/>
  <c r="I653" i="14"/>
  <c r="Q451" i="14"/>
  <c r="Q440" i="14"/>
  <c r="M408" i="14"/>
  <c r="Q373" i="14"/>
  <c r="K1027" i="14"/>
  <c r="O1027" i="14"/>
  <c r="Q1027" i="14" s="1"/>
  <c r="I1026" i="14"/>
  <c r="Q888" i="14"/>
  <c r="M704" i="14"/>
  <c r="N705" i="14"/>
  <c r="P705" i="14"/>
  <c r="K544" i="14"/>
  <c r="I541" i="14"/>
  <c r="O541" i="14" s="1"/>
  <c r="K523" i="14"/>
  <c r="O523" i="14"/>
  <c r="Q523" i="14" s="1"/>
  <c r="I963" i="14"/>
  <c r="I960" i="14" s="1"/>
  <c r="O964" i="14"/>
  <c r="Q964" i="14" s="1"/>
  <c r="Q881" i="14"/>
  <c r="K859" i="14"/>
  <c r="I856" i="14"/>
  <c r="O856" i="14" s="1"/>
  <c r="Q856" i="14" s="1"/>
  <c r="K832" i="14"/>
  <c r="O760" i="14"/>
  <c r="Q760" i="14" s="1"/>
  <c r="Q663" i="14"/>
  <c r="O584" i="14"/>
  <c r="Q584" i="14" s="1"/>
  <c r="K584" i="14"/>
  <c r="O988" i="14"/>
  <c r="Q988" i="14" s="1"/>
  <c r="I726" i="14"/>
  <c r="O726" i="14" s="1"/>
  <c r="Q726" i="14" s="1"/>
  <c r="K728" i="14"/>
  <c r="P565" i="14"/>
  <c r="J562" i="14"/>
  <c r="I499" i="14"/>
  <c r="O500" i="14"/>
  <c r="Q500" i="14" s="1"/>
  <c r="Q235" i="14"/>
  <c r="I1062" i="14"/>
  <c r="K1062" i="14" s="1"/>
  <c r="P939" i="14"/>
  <c r="N881" i="14"/>
  <c r="L880" i="14"/>
  <c r="I795" i="14"/>
  <c r="O795" i="14" s="1"/>
  <c r="Q795" i="14" s="1"/>
  <c r="K802" i="14"/>
  <c r="O802" i="14"/>
  <c r="Q802" i="14" s="1"/>
  <c r="K663" i="14"/>
  <c r="I1187" i="14"/>
  <c r="K1121" i="14"/>
  <c r="O1121" i="14"/>
  <c r="Q1121" i="14" s="1"/>
  <c r="O754" i="14"/>
  <c r="Q754" i="14" s="1"/>
  <c r="K754" i="14"/>
  <c r="K564" i="14"/>
  <c r="O564" i="14"/>
  <c r="Q564" i="14" s="1"/>
  <c r="O225" i="14"/>
  <c r="Q225" i="14" s="1"/>
  <c r="Q443" i="14"/>
  <c r="K1318" i="14"/>
  <c r="K1260" i="14"/>
  <c r="O1260" i="14"/>
  <c r="Q1260" i="14" s="1"/>
  <c r="M1224" i="14"/>
  <c r="K1158" i="14"/>
  <c r="P1073" i="14"/>
  <c r="J1070" i="14"/>
  <c r="Q842" i="14"/>
  <c r="P529" i="14"/>
  <c r="J526" i="14"/>
  <c r="Q428" i="14"/>
  <c r="J372" i="14"/>
  <c r="L1242" i="14"/>
  <c r="P1215" i="14"/>
  <c r="J1205" i="14"/>
  <c r="J1184" i="14"/>
  <c r="I826" i="14"/>
  <c r="K600" i="14"/>
  <c r="O600" i="14"/>
  <c r="Q600" i="14" s="1"/>
  <c r="K594" i="14"/>
  <c r="O594" i="14"/>
  <c r="Q594" i="14" s="1"/>
  <c r="J346" i="14"/>
  <c r="Q303" i="14"/>
  <c r="Q459" i="14"/>
  <c r="K972" i="14"/>
  <c r="O972" i="14"/>
  <c r="Q972" i="14" s="1"/>
  <c r="O914" i="14"/>
  <c r="Q914" i="14" s="1"/>
  <c r="P660" i="14"/>
  <c r="P609" i="14"/>
  <c r="Q543" i="14"/>
  <c r="O568" i="14"/>
  <c r="Q568" i="14" s="1"/>
  <c r="I565" i="14"/>
  <c r="O565" i="14" s="1"/>
  <c r="N763" i="14"/>
  <c r="M602" i="14"/>
  <c r="Q985" i="14"/>
  <c r="Q861" i="14"/>
  <c r="O839" i="14"/>
  <c r="Q839" i="14" s="1"/>
  <c r="P762" i="14"/>
  <c r="O753" i="14"/>
  <c r="Q753" i="14" s="1"/>
  <c r="I622" i="14"/>
  <c r="O622" i="14" s="1"/>
  <c r="K624" i="14"/>
  <c r="O782" i="14"/>
  <c r="Q782" i="14" s="1"/>
  <c r="K714" i="14"/>
  <c r="O714" i="14"/>
  <c r="Q714" i="14" s="1"/>
  <c r="I634" i="14"/>
  <c r="O793" i="14"/>
  <c r="Q793" i="14" s="1"/>
  <c r="I674" i="14"/>
  <c r="O674" i="14" s="1"/>
  <c r="O597" i="14"/>
  <c r="Q597" i="14" s="1"/>
  <c r="K597" i="14"/>
  <c r="O572" i="14"/>
  <c r="L571" i="14"/>
  <c r="O1306" i="14"/>
  <c r="Q1306" i="14" s="1"/>
  <c r="P1250" i="14"/>
  <c r="O993" i="14"/>
  <c r="Q993" i="14" s="1"/>
  <c r="O902" i="14"/>
  <c r="Q902" i="14" s="1"/>
  <c r="O889" i="14"/>
  <c r="Q889" i="14" s="1"/>
  <c r="O879" i="14"/>
  <c r="Q879" i="14" s="1"/>
  <c r="J853" i="14"/>
  <c r="O1315" i="14"/>
  <c r="Q1315" i="14" s="1"/>
  <c r="O1257" i="14"/>
  <c r="Q1257" i="14" s="1"/>
  <c r="J1151" i="14"/>
  <c r="J1059" i="14"/>
  <c r="I999" i="14"/>
  <c r="K999" i="14" s="1"/>
  <c r="N906" i="14"/>
  <c r="P906" i="14"/>
  <c r="Q906" i="14" s="1"/>
  <c r="K860" i="14"/>
  <c r="O772" i="14"/>
  <c r="Q772" i="14" s="1"/>
  <c r="J693" i="14"/>
  <c r="O616" i="14"/>
  <c r="L615" i="14"/>
  <c r="I896" i="14"/>
  <c r="O896" i="14" s="1"/>
  <c r="Q896" i="14" s="1"/>
  <c r="K638" i="14"/>
  <c r="O638" i="14"/>
  <c r="Q638" i="14" s="1"/>
  <c r="J913" i="14"/>
  <c r="P916" i="14"/>
  <c r="I716" i="14"/>
  <c r="Q702" i="14"/>
  <c r="J640" i="14"/>
  <c r="P643" i="14"/>
  <c r="I596" i="14"/>
  <c r="O596" i="14" s="1"/>
  <c r="Q596" i="14" s="1"/>
  <c r="Q507" i="14"/>
  <c r="K670" i="14"/>
  <c r="O670" i="14"/>
  <c r="Q670" i="14" s="1"/>
  <c r="K588" i="14"/>
  <c r="O588" i="14"/>
  <c r="Q588" i="14" s="1"/>
  <c r="P583" i="14"/>
  <c r="O1128" i="14"/>
  <c r="Q1128" i="14" s="1"/>
  <c r="Q1041" i="14"/>
  <c r="O1020" i="14"/>
  <c r="Q1020" i="14" s="1"/>
  <c r="O983" i="14"/>
  <c r="Q983" i="14" s="1"/>
  <c r="O965" i="14"/>
  <c r="Q965" i="14" s="1"/>
  <c r="O954" i="14"/>
  <c r="Q954" i="14" s="1"/>
  <c r="N1098" i="14"/>
  <c r="K1041" i="14"/>
  <c r="O976" i="14"/>
  <c r="Q976" i="14" s="1"/>
  <c r="K700" i="14"/>
  <c r="O700" i="14"/>
  <c r="Q700" i="14" s="1"/>
  <c r="Q587" i="14"/>
  <c r="Q555" i="14"/>
  <c r="P1081" i="14"/>
  <c r="J1078" i="14"/>
  <c r="I916" i="14"/>
  <c r="O916" i="14" s="1"/>
  <c r="I752" i="14"/>
  <c r="O752" i="14" s="1"/>
  <c r="Q752" i="14" s="1"/>
  <c r="Q624" i="14"/>
  <c r="P541" i="14"/>
  <c r="Q525" i="14"/>
  <c r="Q560" i="14"/>
  <c r="K514" i="14"/>
  <c r="O514" i="14"/>
  <c r="Q514" i="14" s="1"/>
  <c r="I512" i="14"/>
  <c r="I509" i="14" s="1"/>
  <c r="P880" i="14"/>
  <c r="I521" i="14"/>
  <c r="Q517" i="14"/>
  <c r="Q800" i="14"/>
  <c r="I778" i="14"/>
  <c r="I768" i="14"/>
  <c r="O768" i="14" s="1"/>
  <c r="Q768" i="14" s="1"/>
  <c r="K748" i="14"/>
  <c r="O748" i="14"/>
  <c r="Q748" i="14" s="1"/>
  <c r="I586" i="14"/>
  <c r="Q504" i="14"/>
  <c r="O910" i="14"/>
  <c r="Q910" i="14" s="1"/>
  <c r="O854" i="14"/>
  <c r="Q854" i="14" s="1"/>
  <c r="O785" i="14"/>
  <c r="Q785" i="14" s="1"/>
  <c r="O775" i="14"/>
  <c r="Q775" i="14" s="1"/>
  <c r="K759" i="14"/>
  <c r="O658" i="14"/>
  <c r="Q658" i="14" s="1"/>
  <c r="O645" i="14"/>
  <c r="Q645" i="14" s="1"/>
  <c r="O592" i="14"/>
  <c r="Q592" i="14" s="1"/>
  <c r="O579" i="14"/>
  <c r="Q579" i="14" s="1"/>
  <c r="O545" i="14"/>
  <c r="Q545" i="14" s="1"/>
  <c r="P886" i="14"/>
  <c r="O804" i="14"/>
  <c r="Q804" i="14" s="1"/>
  <c r="P622" i="14"/>
  <c r="P616" i="14"/>
  <c r="O794" i="14"/>
  <c r="Q794" i="14" s="1"/>
  <c r="O745" i="14"/>
  <c r="Q745" i="14" s="1"/>
  <c r="O739" i="14"/>
  <c r="Q739" i="14" s="1"/>
  <c r="O719" i="14"/>
  <c r="Q719" i="14" s="1"/>
  <c r="O684" i="14"/>
  <c r="Q684" i="14" s="1"/>
  <c r="P674" i="14"/>
  <c r="O651" i="14"/>
  <c r="Q651" i="14" s="1"/>
  <c r="O635" i="14"/>
  <c r="Q635" i="14" s="1"/>
  <c r="P572" i="14"/>
  <c r="O557" i="14"/>
  <c r="Q557" i="14" s="1"/>
  <c r="O511" i="14"/>
  <c r="Q511" i="14" s="1"/>
  <c r="O814" i="14"/>
  <c r="Q814" i="14" s="1"/>
  <c r="O797" i="14"/>
  <c r="Q797" i="14" s="1"/>
  <c r="O781" i="14"/>
  <c r="Q781" i="14" s="1"/>
  <c r="O729" i="14"/>
  <c r="Q729" i="14" s="1"/>
  <c r="O648" i="14"/>
  <c r="Q648" i="14" s="1"/>
  <c r="O569" i="14"/>
  <c r="Q569" i="14" s="1"/>
  <c r="J381" i="14"/>
  <c r="P452" i="14"/>
  <c r="J403" i="14"/>
  <c r="P392" i="14"/>
  <c r="P404" i="14"/>
  <c r="P385" i="14"/>
  <c r="Q385" i="14" s="1"/>
  <c r="M400" i="14"/>
  <c r="M351" i="14"/>
  <c r="P360" i="14"/>
  <c r="N340" i="14"/>
  <c r="P347" i="14"/>
  <c r="O344" i="14"/>
  <c r="P338" i="14"/>
  <c r="Q338" i="14" s="1"/>
  <c r="P309" i="14"/>
  <c r="Q309" i="14" s="1"/>
  <c r="M306" i="14"/>
  <c r="O343" i="14"/>
  <c r="N343" i="14"/>
  <c r="P223" i="14"/>
  <c r="J220" i="14"/>
  <c r="P273" i="14"/>
  <c r="P228" i="14"/>
  <c r="Q228" i="14" s="1"/>
  <c r="K228" i="14"/>
  <c r="J279" i="14"/>
  <c r="O251" i="14"/>
  <c r="Q251" i="14" s="1"/>
  <c r="L250" i="14"/>
  <c r="I279" i="14"/>
  <c r="L116" i="14"/>
  <c r="O120" i="14"/>
  <c r="P131" i="14"/>
  <c r="P113" i="14"/>
  <c r="N121" i="14"/>
  <c r="J109" i="14"/>
  <c r="J179" i="14"/>
  <c r="I109" i="14"/>
  <c r="O109" i="14" s="1"/>
  <c r="J123" i="14"/>
  <c r="L192" i="14"/>
  <c r="M141" i="14"/>
  <c r="P147" i="14"/>
  <c r="M192" i="14"/>
  <c r="P193" i="14"/>
  <c r="Q193" i="14" s="1"/>
  <c r="K88" i="14"/>
  <c r="O88" i="14"/>
  <c r="Q88" i="14" s="1"/>
  <c r="F34" i="13"/>
  <c r="I1311" i="14" l="1"/>
  <c r="B1314" i="14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Q1008" i="14"/>
  <c r="Q113" i="14"/>
  <c r="M1681" i="14"/>
  <c r="Q1117" i="14"/>
  <c r="P1769" i="14"/>
  <c r="I619" i="14"/>
  <c r="M853" i="14"/>
  <c r="P853" i="14" s="1"/>
  <c r="I1569" i="14"/>
  <c r="O1569" i="14" s="1"/>
  <c r="P1790" i="14"/>
  <c r="P1799" i="14"/>
  <c r="P680" i="14"/>
  <c r="Q680" i="14" s="1"/>
  <c r="N452" i="14"/>
  <c r="N671" i="14"/>
  <c r="I1608" i="14"/>
  <c r="K1608" i="14" s="1"/>
  <c r="N321" i="14"/>
  <c r="L1453" i="14"/>
  <c r="N1453" i="14" s="1"/>
  <c r="L314" i="14"/>
  <c r="O314" i="14" s="1"/>
  <c r="L1692" i="14"/>
  <c r="O1692" i="14" s="1"/>
  <c r="Q1692" i="14" s="1"/>
  <c r="Q836" i="14"/>
  <c r="K1551" i="14"/>
  <c r="J1607" i="14"/>
  <c r="J1598" i="14" s="1"/>
  <c r="Q1325" i="14"/>
  <c r="P1116" i="14"/>
  <c r="Q1116" i="14" s="1"/>
  <c r="I403" i="14"/>
  <c r="O403" i="14" s="1"/>
  <c r="K1317" i="14"/>
  <c r="I1089" i="14"/>
  <c r="K1089" i="14" s="1"/>
  <c r="Q681" i="14"/>
  <c r="O973" i="14"/>
  <c r="Q973" i="14" s="1"/>
  <c r="K1769" i="14"/>
  <c r="M1385" i="14"/>
  <c r="P1385" i="14" s="1"/>
  <c r="Q344" i="14"/>
  <c r="Q1246" i="14"/>
  <c r="Q180" i="14"/>
  <c r="Q326" i="14"/>
  <c r="K1325" i="14"/>
  <c r="K234" i="14"/>
  <c r="J81" i="14"/>
  <c r="P81" i="14" s="1"/>
  <c r="K1575" i="14"/>
  <c r="J1871" i="14"/>
  <c r="J1870" i="14" s="1"/>
  <c r="P1870" i="14" s="1"/>
  <c r="K1272" i="14"/>
  <c r="K1716" i="14"/>
  <c r="Q1572" i="14"/>
  <c r="Q1317" i="14"/>
  <c r="L351" i="14"/>
  <c r="N351" i="14" s="1"/>
  <c r="K622" i="14"/>
  <c r="O360" i="14"/>
  <c r="Q360" i="14" s="1"/>
  <c r="O1468" i="14"/>
  <c r="Q1468" i="14" s="1"/>
  <c r="Q1170" i="14"/>
  <c r="Q1620" i="14"/>
  <c r="I1713" i="14"/>
  <c r="I1709" i="14" s="1"/>
  <c r="N680" i="14"/>
  <c r="P1723" i="14"/>
  <c r="K806" i="14"/>
  <c r="K1258" i="14"/>
  <c r="J253" i="14"/>
  <c r="P253" i="14" s="1"/>
  <c r="I683" i="14"/>
  <c r="K683" i="14" s="1"/>
  <c r="K135" i="14"/>
  <c r="K340" i="14"/>
  <c r="Q404" i="14"/>
  <c r="O686" i="14"/>
  <c r="Q686" i="14" s="1"/>
  <c r="L1389" i="14"/>
  <c r="N1389" i="14" s="1"/>
  <c r="J1708" i="14"/>
  <c r="Q529" i="14"/>
  <c r="O1103" i="14"/>
  <c r="Q1103" i="14" s="1"/>
  <c r="K1103" i="14"/>
  <c r="L1539" i="14"/>
  <c r="L1531" i="14" s="1"/>
  <c r="O1531" i="14" s="1"/>
  <c r="L619" i="14"/>
  <c r="P297" i="14"/>
  <c r="Q1909" i="14"/>
  <c r="Q1368" i="14"/>
  <c r="I1778" i="14"/>
  <c r="O1778" i="14" s="1"/>
  <c r="Q951" i="14"/>
  <c r="K1779" i="14"/>
  <c r="O1450" i="14"/>
  <c r="Q1450" i="14" s="1"/>
  <c r="I1408" i="14"/>
  <c r="O1408" i="14" s="1"/>
  <c r="N1693" i="14"/>
  <c r="N847" i="14"/>
  <c r="O1769" i="14"/>
  <c r="Q1769" i="14" s="1"/>
  <c r="K326" i="14"/>
  <c r="K1246" i="14"/>
  <c r="N408" i="14"/>
  <c r="K200" i="14"/>
  <c r="O1818" i="14"/>
  <c r="Q1818" i="14" s="1"/>
  <c r="O1402" i="14"/>
  <c r="I1815" i="14"/>
  <c r="I1814" i="14" s="1"/>
  <c r="K1814" i="14" s="1"/>
  <c r="I1269" i="14"/>
  <c r="K1269" i="14" s="1"/>
  <c r="K1227" i="14"/>
  <c r="N1544" i="14"/>
  <c r="O1902" i="14"/>
  <c r="Q1902" i="14" s="1"/>
  <c r="Q1122" i="14"/>
  <c r="Q1097" i="14"/>
  <c r="I199" i="14"/>
  <c r="K199" i="14" s="1"/>
  <c r="Q1272" i="14"/>
  <c r="K382" i="14"/>
  <c r="M116" i="14"/>
  <c r="P116" i="14" s="1"/>
  <c r="Q91" i="14"/>
  <c r="O1675" i="14"/>
  <c r="Q1675" i="14" s="1"/>
  <c r="N1402" i="14"/>
  <c r="Q223" i="14"/>
  <c r="I1723" i="14"/>
  <c r="K1723" i="14" s="1"/>
  <c r="I1143" i="14"/>
  <c r="O1143" i="14" s="1"/>
  <c r="Q1143" i="14" s="1"/>
  <c r="K404" i="14"/>
  <c r="Q1227" i="14"/>
  <c r="I323" i="14"/>
  <c r="K323" i="14" s="1"/>
  <c r="L1601" i="14"/>
  <c r="N1601" i="14" s="1"/>
  <c r="P120" i="14"/>
  <c r="Q120" i="14" s="1"/>
  <c r="I123" i="14"/>
  <c r="K1146" i="14"/>
  <c r="Q343" i="14"/>
  <c r="Q382" i="14"/>
  <c r="M323" i="14"/>
  <c r="P323" i="14" s="1"/>
  <c r="K1335" i="14"/>
  <c r="I550" i="14"/>
  <c r="O550" i="14" s="1"/>
  <c r="Q1735" i="14"/>
  <c r="K353" i="14"/>
  <c r="M1396" i="14"/>
  <c r="N1396" i="14" s="1"/>
  <c r="O1604" i="14"/>
  <c r="Q1604" i="14" s="1"/>
  <c r="K1735" i="14"/>
  <c r="P1402" i="14"/>
  <c r="K939" i="14"/>
  <c r="L141" i="14"/>
  <c r="N141" i="14" s="1"/>
  <c r="Q1859" i="14"/>
  <c r="I1622" i="14"/>
  <c r="O1622" i="14" s="1"/>
  <c r="Q1622" i="14" s="1"/>
  <c r="N1454" i="14"/>
  <c r="I1856" i="14"/>
  <c r="I1855" i="14" s="1"/>
  <c r="K1855" i="14" s="1"/>
  <c r="L1658" i="14"/>
  <c r="O1658" i="14" s="1"/>
  <c r="K886" i="14"/>
  <c r="P1539" i="14"/>
  <c r="K1420" i="14"/>
  <c r="K1531" i="14"/>
  <c r="N1567" i="14"/>
  <c r="I1014" i="14"/>
  <c r="K1014" i="14" s="1"/>
  <c r="I538" i="14"/>
  <c r="O538" i="14" s="1"/>
  <c r="P1746" i="14"/>
  <c r="I970" i="14"/>
  <c r="O970" i="14" s="1"/>
  <c r="Q970" i="14" s="1"/>
  <c r="I351" i="14"/>
  <c r="K351" i="14" s="1"/>
  <c r="L1290" i="14"/>
  <c r="Q1392" i="14"/>
  <c r="I1290" i="14"/>
  <c r="K1290" i="14" s="1"/>
  <c r="O1625" i="14"/>
  <c r="Q1625" i="14" s="1"/>
  <c r="K1368" i="14"/>
  <c r="Q1529" i="14"/>
  <c r="K132" i="14"/>
  <c r="L1608" i="14"/>
  <c r="L1607" i="14" s="1"/>
  <c r="J313" i="14"/>
  <c r="J293" i="14" s="1"/>
  <c r="I978" i="14"/>
  <c r="K978" i="14" s="1"/>
  <c r="P1611" i="14"/>
  <c r="Q1611" i="14" s="1"/>
  <c r="O1747" i="14"/>
  <c r="Q1747" i="14" s="1"/>
  <c r="Q1659" i="14"/>
  <c r="Q1386" i="14"/>
  <c r="N1392" i="14"/>
  <c r="K1051" i="14"/>
  <c r="K565" i="14"/>
  <c r="I1912" i="14"/>
  <c r="O1912" i="14" s="1"/>
  <c r="Q1912" i="14" s="1"/>
  <c r="K124" i="14"/>
  <c r="Q572" i="14"/>
  <c r="O1208" i="14"/>
  <c r="Q1208" i="14" s="1"/>
  <c r="P1446" i="14"/>
  <c r="Q1446" i="14" s="1"/>
  <c r="Q1567" i="14"/>
  <c r="I1746" i="14"/>
  <c r="K1746" i="14" s="1"/>
  <c r="N1659" i="14"/>
  <c r="O1092" i="14"/>
  <c r="Q1092" i="14" s="1"/>
  <c r="Q705" i="14"/>
  <c r="K1859" i="14"/>
  <c r="L1557" i="14"/>
  <c r="O1557" i="14" s="1"/>
  <c r="N1799" i="14"/>
  <c r="K795" i="14"/>
  <c r="I220" i="14"/>
  <c r="O220" i="14" s="1"/>
  <c r="N1446" i="14"/>
  <c r="I1367" i="14"/>
  <c r="O1367" i="14" s="1"/>
  <c r="P1901" i="14"/>
  <c r="K265" i="14"/>
  <c r="O1454" i="14"/>
  <c r="Q1454" i="14" s="1"/>
  <c r="K856" i="14"/>
  <c r="K223" i="14"/>
  <c r="Q234" i="14"/>
  <c r="Q990" i="14"/>
  <c r="P1430" i="14"/>
  <c r="Q1430" i="14" s="1"/>
  <c r="I606" i="14"/>
  <c r="K606" i="14" s="1"/>
  <c r="I131" i="14"/>
  <c r="O509" i="14"/>
  <c r="Q509" i="14" s="1"/>
  <c r="K509" i="14"/>
  <c r="J1433" i="14"/>
  <c r="P1433" i="14" s="1"/>
  <c r="P1437" i="14"/>
  <c r="Q1335" i="14"/>
  <c r="Q628" i="14"/>
  <c r="K136" i="14"/>
  <c r="K372" i="14"/>
  <c r="Q121" i="14"/>
  <c r="Q1731" i="14"/>
  <c r="P713" i="14"/>
  <c r="I1526" i="14"/>
  <c r="O1527" i="14"/>
  <c r="Q1527" i="14" s="1"/>
  <c r="Q1716" i="14"/>
  <c r="Q1017" i="14"/>
  <c r="K1008" i="14"/>
  <c r="K113" i="14"/>
  <c r="K376" i="14"/>
  <c r="K1017" i="14"/>
  <c r="N908" i="14"/>
  <c r="N1059" i="14"/>
  <c r="I1633" i="14"/>
  <c r="I1632" i="14" s="1"/>
  <c r="K1634" i="14"/>
  <c r="O1874" i="14"/>
  <c r="Q1874" i="14" s="1"/>
  <c r="K1874" i="14"/>
  <c r="I671" i="14"/>
  <c r="P1557" i="14"/>
  <c r="I1167" i="14"/>
  <c r="O1167" i="14" s="1"/>
  <c r="K1170" i="14"/>
  <c r="N1097" i="14"/>
  <c r="K1730" i="14"/>
  <c r="N1866" i="14"/>
  <c r="I1901" i="14"/>
  <c r="K1901" i="14" s="1"/>
  <c r="P1440" i="14"/>
  <c r="J1837" i="14"/>
  <c r="P1840" i="14"/>
  <c r="K1915" i="14"/>
  <c r="Q1336" i="14"/>
  <c r="Q820" i="14"/>
  <c r="N559" i="14"/>
  <c r="L1787" i="14"/>
  <c r="L1786" i="14" s="1"/>
  <c r="L1777" i="14" s="1"/>
  <c r="K596" i="14"/>
  <c r="I1650" i="14"/>
  <c r="K1650" i="14" s="1"/>
  <c r="O1799" i="14"/>
  <c r="K1755" i="14"/>
  <c r="K1726" i="14"/>
  <c r="O1551" i="14"/>
  <c r="Q1551" i="14" s="1"/>
  <c r="P1349" i="14"/>
  <c r="Q1349" i="14" s="1"/>
  <c r="Q452" i="14"/>
  <c r="O547" i="14"/>
  <c r="K1280" i="14"/>
  <c r="I1032" i="14"/>
  <c r="K1032" i="14" s="1"/>
  <c r="I1334" i="14"/>
  <c r="I1333" i="14" s="1"/>
  <c r="O1333" i="14" s="1"/>
  <c r="Q1693" i="14"/>
  <c r="Q763" i="14"/>
  <c r="K1906" i="14"/>
  <c r="O1906" i="14"/>
  <c r="Q1906" i="14" s="1"/>
  <c r="K541" i="14"/>
  <c r="P170" i="14"/>
  <c r="Q170" i="14" s="1"/>
  <c r="K674" i="14"/>
  <c r="L905" i="14"/>
  <c r="O905" i="14" s="1"/>
  <c r="O1035" i="14"/>
  <c r="Q1035" i="14" s="1"/>
  <c r="O376" i="14"/>
  <c r="Q376" i="14" s="1"/>
  <c r="K1397" i="14"/>
  <c r="O1420" i="14"/>
  <c r="Q1420" i="14" s="1"/>
  <c r="Q1915" i="14"/>
  <c r="I1847" i="14"/>
  <c r="O1847" i="14" s="1"/>
  <c r="K1527" i="14"/>
  <c r="Q1845" i="14"/>
  <c r="K990" i="14"/>
  <c r="O408" i="14"/>
  <c r="Q886" i="14"/>
  <c r="K609" i="14"/>
  <c r="I1005" i="14"/>
  <c r="O1005" i="14" s="1"/>
  <c r="O1766" i="14"/>
  <c r="K553" i="14"/>
  <c r="P1713" i="14"/>
  <c r="O1848" i="14"/>
  <c r="Q1848" i="14" s="1"/>
  <c r="I1752" i="14"/>
  <c r="K1440" i="14"/>
  <c r="Q1755" i="14"/>
  <c r="L1089" i="14"/>
  <c r="N1089" i="14" s="1"/>
  <c r="L1633" i="14"/>
  <c r="L1632" i="14" s="1"/>
  <c r="O559" i="14"/>
  <c r="Q559" i="14" s="1"/>
  <c r="L1865" i="14"/>
  <c r="L1856" i="14" s="1"/>
  <c r="K1159" i="14"/>
  <c r="O1423" i="14"/>
  <c r="Q1423" i="14" s="1"/>
  <c r="I713" i="14"/>
  <c r="K713" i="14" s="1"/>
  <c r="I1508" i="14"/>
  <c r="O1508" i="14" s="1"/>
  <c r="K1423" i="14"/>
  <c r="L158" i="14"/>
  <c r="N158" i="14" s="1"/>
  <c r="P314" i="14"/>
  <c r="Q609" i="14"/>
  <c r="K1250" i="14"/>
  <c r="P1086" i="14"/>
  <c r="O136" i="14"/>
  <c r="Q136" i="14" s="1"/>
  <c r="K1766" i="14"/>
  <c r="N1638" i="14"/>
  <c r="K264" i="14"/>
  <c r="N628" i="14"/>
  <c r="Q1825" i="14"/>
  <c r="K981" i="14"/>
  <c r="P340" i="14"/>
  <c r="Q340" i="14" s="1"/>
  <c r="O265" i="14"/>
  <c r="Q265" i="14" s="1"/>
  <c r="N547" i="14"/>
  <c r="Q708" i="14"/>
  <c r="J707" i="14"/>
  <c r="M1108" i="14"/>
  <c r="N1108" i="14" s="1"/>
  <c r="N1067" i="14"/>
  <c r="Q548" i="14"/>
  <c r="O1086" i="14"/>
  <c r="Q878" i="14"/>
  <c r="M619" i="14"/>
  <c r="O1067" i="14"/>
  <c r="Q1067" i="14" s="1"/>
  <c r="N878" i="14"/>
  <c r="N1086" i="14"/>
  <c r="Q939" i="14"/>
  <c r="M550" i="14"/>
  <c r="N550" i="14" s="1"/>
  <c r="P735" i="14"/>
  <c r="Q1044" i="14"/>
  <c r="Q674" i="14"/>
  <c r="Q665" i="14"/>
  <c r="Q541" i="14"/>
  <c r="Q565" i="14"/>
  <c r="Q1215" i="14"/>
  <c r="K1122" i="14"/>
  <c r="K1215" i="14"/>
  <c r="O1396" i="14"/>
  <c r="I1837" i="14"/>
  <c r="O1840" i="14"/>
  <c r="K1175" i="14"/>
  <c r="I693" i="14"/>
  <c r="K693" i="14" s="1"/>
  <c r="J1899" i="14"/>
  <c r="M1184" i="14"/>
  <c r="N1202" i="14"/>
  <c r="P1202" i="14"/>
  <c r="L323" i="14"/>
  <c r="O333" i="14"/>
  <c r="Q333" i="14" s="1"/>
  <c r="N333" i="14"/>
  <c r="O762" i="14"/>
  <c r="Q762" i="14" s="1"/>
  <c r="L741" i="14"/>
  <c r="N741" i="14" s="1"/>
  <c r="N1043" i="14"/>
  <c r="J1765" i="14"/>
  <c r="P1765" i="14" s="1"/>
  <c r="P1766" i="14"/>
  <c r="N415" i="14"/>
  <c r="P662" i="14"/>
  <c r="I883" i="14"/>
  <c r="K883" i="14" s="1"/>
  <c r="I562" i="14"/>
  <c r="K562" i="14" s="1"/>
  <c r="O128" i="14"/>
  <c r="Q128" i="14" s="1"/>
  <c r="Q1447" i="14"/>
  <c r="M606" i="14"/>
  <c r="P606" i="14" s="1"/>
  <c r="P615" i="14"/>
  <c r="O1671" i="14"/>
  <c r="Q1671" i="14" s="1"/>
  <c r="L1670" i="14"/>
  <c r="N1670" i="14" s="1"/>
  <c r="L1434" i="14"/>
  <c r="N1435" i="14"/>
  <c r="O1435" i="14"/>
  <c r="Q1435" i="14" s="1"/>
  <c r="Q1908" i="14"/>
  <c r="L1032" i="14"/>
  <c r="L938" i="14" s="1"/>
  <c r="O1043" i="14"/>
  <c r="Q1043" i="14" s="1"/>
  <c r="L1184" i="14"/>
  <c r="O1202" i="14"/>
  <c r="O1178" i="14"/>
  <c r="Q1178" i="14" s="1"/>
  <c r="K1178" i="14"/>
  <c r="N128" i="14"/>
  <c r="N1330" i="14"/>
  <c r="O1397" i="14"/>
  <c r="Q1397" i="14" s="1"/>
  <c r="K696" i="14"/>
  <c r="K244" i="14"/>
  <c r="Q1804" i="14"/>
  <c r="Q1809" i="14"/>
  <c r="I1119" i="14"/>
  <c r="L1752" i="14"/>
  <c r="O1762" i="14"/>
  <c r="N1901" i="14"/>
  <c r="M1900" i="14"/>
  <c r="P1900" i="14" s="1"/>
  <c r="I765" i="14"/>
  <c r="K765" i="14" s="1"/>
  <c r="Q1763" i="14"/>
  <c r="I254" i="14"/>
  <c r="K254" i="14" s="1"/>
  <c r="Q117" i="14"/>
  <c r="J1777" i="14"/>
  <c r="K1840" i="14"/>
  <c r="I948" i="14"/>
  <c r="I1787" i="14"/>
  <c r="K1790" i="14"/>
  <c r="O1790" i="14"/>
  <c r="I593" i="14"/>
  <c r="K593" i="14" s="1"/>
  <c r="I1487" i="14"/>
  <c r="I1453" i="14" s="1"/>
  <c r="O1871" i="14"/>
  <c r="I1870" i="14"/>
  <c r="O1870" i="14" s="1"/>
  <c r="N170" i="14"/>
  <c r="M538" i="14"/>
  <c r="P547" i="14"/>
  <c r="Q415" i="14"/>
  <c r="O1490" i="14"/>
  <c r="Q1490" i="14" s="1"/>
  <c r="M1633" i="14"/>
  <c r="P1633" i="14" s="1"/>
  <c r="M1752" i="14"/>
  <c r="N1762" i="14"/>
  <c r="P1762" i="14"/>
  <c r="P1847" i="14"/>
  <c r="O257" i="14"/>
  <c r="Q257" i="14" s="1"/>
  <c r="N762" i="14"/>
  <c r="M264" i="14"/>
  <c r="P264" i="14" s="1"/>
  <c r="K916" i="14"/>
  <c r="I853" i="14"/>
  <c r="K853" i="14" s="1"/>
  <c r="L414" i="14"/>
  <c r="P1638" i="14"/>
  <c r="Q1638" i="14" s="1"/>
  <c r="Q1730" i="14"/>
  <c r="O1827" i="14"/>
  <c r="Q1668" i="14"/>
  <c r="I1437" i="14"/>
  <c r="O1440" i="14"/>
  <c r="K1162" i="14"/>
  <c r="O1162" i="14"/>
  <c r="Q1162" i="14" s="1"/>
  <c r="O847" i="14"/>
  <c r="L823" i="14"/>
  <c r="J1449" i="14"/>
  <c r="K1450" i="14"/>
  <c r="O738" i="14"/>
  <c r="Q738" i="14" s="1"/>
  <c r="L735" i="14"/>
  <c r="J1337" i="14"/>
  <c r="P1337" i="14" s="1"/>
  <c r="P1340" i="14"/>
  <c r="O1330" i="14"/>
  <c r="Q1330" i="14" s="1"/>
  <c r="I987" i="14"/>
  <c r="O987" i="14" s="1"/>
  <c r="K951" i="14"/>
  <c r="O926" i="14"/>
  <c r="Q926" i="14" s="1"/>
  <c r="Q981" i="14"/>
  <c r="I1670" i="14"/>
  <c r="P1827" i="14"/>
  <c r="K1675" i="14"/>
  <c r="P1664" i="14"/>
  <c r="Q1664" i="14" s="1"/>
  <c r="K1664" i="14"/>
  <c r="P1367" i="14"/>
  <c r="Q622" i="14"/>
  <c r="Q132" i="14"/>
  <c r="N147" i="14"/>
  <c r="O1412" i="14"/>
  <c r="K1611" i="14"/>
  <c r="N1619" i="14"/>
  <c r="O1674" i="14"/>
  <c r="Q1674" i="14" s="1"/>
  <c r="N1827" i="14"/>
  <c r="K1509" i="14"/>
  <c r="K708" i="14"/>
  <c r="M1290" i="14"/>
  <c r="P1308" i="14"/>
  <c r="Q1308" i="14" s="1"/>
  <c r="N1308" i="14"/>
  <c r="Q147" i="14"/>
  <c r="K752" i="14"/>
  <c r="K241" i="14"/>
  <c r="O400" i="14"/>
  <c r="K665" i="14"/>
  <c r="M1032" i="14"/>
  <c r="P1032" i="14" s="1"/>
  <c r="Q1634" i="14"/>
  <c r="L1709" i="14"/>
  <c r="L1708" i="14" s="1"/>
  <c r="O1710" i="14"/>
  <c r="K744" i="14"/>
  <c r="I1681" i="14"/>
  <c r="O1684" i="14"/>
  <c r="Q1684" i="14" s="1"/>
  <c r="P847" i="14"/>
  <c r="M823" i="14"/>
  <c r="P1453" i="14"/>
  <c r="Q916" i="14"/>
  <c r="K768" i="14"/>
  <c r="I662" i="14"/>
  <c r="O662" i="14" s="1"/>
  <c r="I1205" i="14"/>
  <c r="K1205" i="14" s="1"/>
  <c r="I231" i="14"/>
  <c r="Q1558" i="14"/>
  <c r="O1293" i="14"/>
  <c r="Q1293" i="14" s="1"/>
  <c r="K1293" i="14"/>
  <c r="M1786" i="14"/>
  <c r="P1786" i="14" s="1"/>
  <c r="N1710" i="14"/>
  <c r="M1709" i="14"/>
  <c r="P1710" i="14"/>
  <c r="N1815" i="14"/>
  <c r="M1814" i="14"/>
  <c r="N1814" i="14" s="1"/>
  <c r="P1778" i="14"/>
  <c r="P1815" i="14"/>
  <c r="P1751" i="14"/>
  <c r="P1850" i="14"/>
  <c r="Q1850" i="14" s="1"/>
  <c r="K1850" i="14"/>
  <c r="P1734" i="14"/>
  <c r="P1865" i="14"/>
  <c r="M1856" i="14"/>
  <c r="P1787" i="14"/>
  <c r="O1765" i="14"/>
  <c r="M1680" i="14"/>
  <c r="P1680" i="14" s="1"/>
  <c r="P1670" i="14"/>
  <c r="M1607" i="14"/>
  <c r="P1658" i="14"/>
  <c r="M1650" i="14"/>
  <c r="K1647" i="14"/>
  <c r="P1647" i="14"/>
  <c r="Q1647" i="14" s="1"/>
  <c r="J1632" i="14"/>
  <c r="P1608" i="14"/>
  <c r="P1681" i="14"/>
  <c r="P1569" i="14"/>
  <c r="P1508" i="14"/>
  <c r="P1531" i="14"/>
  <c r="M1507" i="14"/>
  <c r="J1507" i="14"/>
  <c r="M1408" i="14"/>
  <c r="N1412" i="14"/>
  <c r="P1412" i="14"/>
  <c r="K1430" i="14"/>
  <c r="N1437" i="14"/>
  <c r="K1364" i="14"/>
  <c r="P1364" i="14"/>
  <c r="Q1364" i="14" s="1"/>
  <c r="O960" i="14"/>
  <c r="Q960" i="14" s="1"/>
  <c r="K960" i="14"/>
  <c r="P996" i="14"/>
  <c r="I82" i="14"/>
  <c r="I81" i="14" s="1"/>
  <c r="K640" i="14"/>
  <c r="P640" i="14"/>
  <c r="Q640" i="14" s="1"/>
  <c r="K726" i="14"/>
  <c r="P562" i="14"/>
  <c r="J520" i="14"/>
  <c r="N1264" i="14"/>
  <c r="P1264" i="14"/>
  <c r="M1245" i="14"/>
  <c r="O1337" i="14"/>
  <c r="I184" i="14"/>
  <c r="K184" i="14" s="1"/>
  <c r="O185" i="14"/>
  <c r="Q185" i="14" s="1"/>
  <c r="L602" i="14"/>
  <c r="O603" i="14"/>
  <c r="Q603" i="14" s="1"/>
  <c r="P817" i="14"/>
  <c r="N817" i="14"/>
  <c r="M792" i="14"/>
  <c r="P792" i="14" s="1"/>
  <c r="K1345" i="14"/>
  <c r="P1345" i="14"/>
  <c r="Q1345" i="14" s="1"/>
  <c r="J1344" i="14"/>
  <c r="L1286" i="14"/>
  <c r="N1286" i="14" s="1"/>
  <c r="O1287" i="14"/>
  <c r="Q1287" i="14" s="1"/>
  <c r="P1311" i="14"/>
  <c r="P408" i="14"/>
  <c r="K297" i="14"/>
  <c r="O297" i="14"/>
  <c r="O1130" i="14"/>
  <c r="Q1130" i="14" s="1"/>
  <c r="I1127" i="14"/>
  <c r="O1127" i="14" s="1"/>
  <c r="K1130" i="14"/>
  <c r="N1311" i="14"/>
  <c r="K1100" i="14"/>
  <c r="P1100" i="14"/>
  <c r="Q1100" i="14" s="1"/>
  <c r="M593" i="14"/>
  <c r="P602" i="14"/>
  <c r="K185" i="14"/>
  <c r="L606" i="14"/>
  <c r="O615" i="14"/>
  <c r="N615" i="14"/>
  <c r="K963" i="14"/>
  <c r="O963" i="14"/>
  <c r="Q963" i="14" s="1"/>
  <c r="P250" i="14"/>
  <c r="M241" i="14"/>
  <c r="M240" i="14" s="1"/>
  <c r="P240" i="14" s="1"/>
  <c r="M403" i="14"/>
  <c r="N403" i="14" s="1"/>
  <c r="N603" i="14"/>
  <c r="O1235" i="14"/>
  <c r="Q1235" i="14" s="1"/>
  <c r="I1224" i="14"/>
  <c r="N387" i="14"/>
  <c r="O387" i="14"/>
  <c r="Q387" i="14" s="1"/>
  <c r="O273" i="14"/>
  <c r="Q273" i="14" s="1"/>
  <c r="L270" i="14"/>
  <c r="L123" i="14"/>
  <c r="N123" i="14" s="1"/>
  <c r="O127" i="14"/>
  <c r="Q127" i="14" s="1"/>
  <c r="K1195" i="14"/>
  <c r="I1245" i="14"/>
  <c r="K586" i="14"/>
  <c r="O586" i="14"/>
  <c r="Q586" i="14" s="1"/>
  <c r="K619" i="14"/>
  <c r="Q616" i="14"/>
  <c r="Q1250" i="14"/>
  <c r="P987" i="14"/>
  <c r="O1154" i="14"/>
  <c r="Q1154" i="14" s="1"/>
  <c r="I1151" i="14"/>
  <c r="I389" i="14"/>
  <c r="K392" i="14"/>
  <c r="O392" i="14"/>
  <c r="Q392" i="14" s="1"/>
  <c r="P90" i="14"/>
  <c r="Q90" i="14" s="1"/>
  <c r="K90" i="14"/>
  <c r="K521" i="14"/>
  <c r="O521" i="14"/>
  <c r="Q521" i="14" s="1"/>
  <c r="I294" i="14"/>
  <c r="K294" i="14" s="1"/>
  <c r="P1005" i="14"/>
  <c r="K1235" i="14"/>
  <c r="P1224" i="14"/>
  <c r="P1334" i="14"/>
  <c r="J1058" i="14"/>
  <c r="L933" i="14"/>
  <c r="N934" i="14"/>
  <c r="O934" i="14"/>
  <c r="Q934" i="14" s="1"/>
  <c r="O1311" i="14"/>
  <c r="O1312" i="14"/>
  <c r="Q1312" i="14" s="1"/>
  <c r="K1312" i="14"/>
  <c r="O1081" i="14"/>
  <c r="Q1081" i="14" s="1"/>
  <c r="I1078" i="14"/>
  <c r="O1078" i="14" s="1"/>
  <c r="K643" i="14"/>
  <c r="O643" i="14"/>
  <c r="Q643" i="14" s="1"/>
  <c r="O880" i="14"/>
  <c r="Q880" i="14" s="1"/>
  <c r="L877" i="14"/>
  <c r="K1340" i="14"/>
  <c r="O1340" i="14"/>
  <c r="O999" i="14"/>
  <c r="Q999" i="14" s="1"/>
  <c r="I996" i="14"/>
  <c r="O996" i="14" s="1"/>
  <c r="O244" i="14"/>
  <c r="Q244" i="14" s="1"/>
  <c r="K512" i="14"/>
  <c r="O512" i="14"/>
  <c r="Q512" i="14" s="1"/>
  <c r="I741" i="14"/>
  <c r="P1059" i="14"/>
  <c r="J938" i="14"/>
  <c r="O347" i="14"/>
  <c r="Q347" i="14" s="1"/>
  <c r="I346" i="14"/>
  <c r="O704" i="14"/>
  <c r="L693" i="14"/>
  <c r="Q361" i="14"/>
  <c r="I158" i="14"/>
  <c r="K158" i="14" s="1"/>
  <c r="O161" i="14"/>
  <c r="Q161" i="14" s="1"/>
  <c r="Q1175" i="14"/>
  <c r="L792" i="14"/>
  <c r="O817" i="14"/>
  <c r="K716" i="14"/>
  <c r="O716" i="14"/>
  <c r="Q716" i="14" s="1"/>
  <c r="K1187" i="14"/>
  <c r="O1187" i="14"/>
  <c r="Q1187" i="14" s="1"/>
  <c r="L1241" i="14"/>
  <c r="N1242" i="14"/>
  <c r="O1242" i="14"/>
  <c r="Q1242" i="14" s="1"/>
  <c r="I574" i="14"/>
  <c r="O577" i="14"/>
  <c r="Q577" i="14" s="1"/>
  <c r="O85" i="14"/>
  <c r="Q85" i="14" s="1"/>
  <c r="P913" i="14"/>
  <c r="N880" i="14"/>
  <c r="M883" i="14"/>
  <c r="P905" i="14"/>
  <c r="N1078" i="14"/>
  <c r="P346" i="14"/>
  <c r="K896" i="14"/>
  <c r="K1154" i="14"/>
  <c r="O826" i="14"/>
  <c r="Q826" i="14" s="1"/>
  <c r="K826" i="14"/>
  <c r="I823" i="14"/>
  <c r="Q1073" i="14"/>
  <c r="I1059" i="14"/>
  <c r="O1059" i="14" s="1"/>
  <c r="O1062" i="14"/>
  <c r="Q1062" i="14" s="1"/>
  <c r="K1026" i="14"/>
  <c r="O1026" i="14"/>
  <c r="Q1026" i="14" s="1"/>
  <c r="I1023" i="14"/>
  <c r="P1127" i="14"/>
  <c r="O1264" i="14"/>
  <c r="L1245" i="14"/>
  <c r="N311" i="14"/>
  <c r="P1286" i="14"/>
  <c r="M1269" i="14"/>
  <c r="P1269" i="14" s="1"/>
  <c r="I1070" i="14"/>
  <c r="O1070" i="14" s="1"/>
  <c r="K1111" i="14"/>
  <c r="O1111" i="14"/>
  <c r="Q1111" i="14" s="1"/>
  <c r="I1108" i="14"/>
  <c r="I650" i="14"/>
  <c r="K653" i="14"/>
  <c r="O653" i="14"/>
  <c r="Q653" i="14" s="1"/>
  <c r="O1222" i="14"/>
  <c r="L1221" i="14"/>
  <c r="P414" i="14"/>
  <c r="P1078" i="14"/>
  <c r="P659" i="14"/>
  <c r="P650" i="14"/>
  <c r="N1222" i="14"/>
  <c r="P1222" i="14"/>
  <c r="M1221" i="14"/>
  <c r="L306" i="14"/>
  <c r="O306" i="14" s="1"/>
  <c r="P1151" i="14"/>
  <c r="K1073" i="14"/>
  <c r="Q1138" i="14"/>
  <c r="Q114" i="14"/>
  <c r="P372" i="14"/>
  <c r="Q372" i="14" s="1"/>
  <c r="I792" i="14"/>
  <c r="K792" i="14" s="1"/>
  <c r="I1135" i="14"/>
  <c r="O1135" i="14" s="1"/>
  <c r="I1184" i="14"/>
  <c r="K1138" i="14"/>
  <c r="N789" i="14"/>
  <c r="O789" i="14"/>
  <c r="Q789" i="14" s="1"/>
  <c r="L788" i="14"/>
  <c r="P1167" i="14"/>
  <c r="K836" i="14"/>
  <c r="K634" i="14"/>
  <c r="O634" i="14"/>
  <c r="Q634" i="14" s="1"/>
  <c r="I631" i="14"/>
  <c r="K526" i="14"/>
  <c r="P526" i="14"/>
  <c r="Q526" i="14" s="1"/>
  <c r="I583" i="14"/>
  <c r="O571" i="14"/>
  <c r="Q571" i="14" s="1"/>
  <c r="N571" i="14"/>
  <c r="L562" i="14"/>
  <c r="N562" i="14" s="1"/>
  <c r="N704" i="14"/>
  <c r="M693" i="14"/>
  <c r="P693" i="14" s="1"/>
  <c r="P704" i="14"/>
  <c r="K866" i="14"/>
  <c r="O866" i="14"/>
  <c r="Q866" i="14" s="1"/>
  <c r="I214" i="14"/>
  <c r="O217" i="14"/>
  <c r="Q217" i="14" s="1"/>
  <c r="K217" i="14"/>
  <c r="P1070" i="14"/>
  <c r="K1081" i="14"/>
  <c r="K778" i="14"/>
  <c r="O778" i="14"/>
  <c r="Q778" i="14" s="1"/>
  <c r="P765" i="14"/>
  <c r="I913" i="14"/>
  <c r="K913" i="14" s="1"/>
  <c r="I498" i="14"/>
  <c r="K499" i="14"/>
  <c r="O499" i="14"/>
  <c r="Q499" i="14" s="1"/>
  <c r="P1135" i="14"/>
  <c r="Q1265" i="14"/>
  <c r="K1301" i="14"/>
  <c r="O1301" i="14"/>
  <c r="Q1301" i="14" s="1"/>
  <c r="N1287" i="14"/>
  <c r="O384" i="14"/>
  <c r="Q384" i="14" s="1"/>
  <c r="L381" i="14"/>
  <c r="L380" i="14" s="1"/>
  <c r="P400" i="14"/>
  <c r="M389" i="14"/>
  <c r="N400" i="14"/>
  <c r="N384" i="14"/>
  <c r="P413" i="14"/>
  <c r="J380" i="14"/>
  <c r="P351" i="14"/>
  <c r="P306" i="14"/>
  <c r="M294" i="14"/>
  <c r="N250" i="14"/>
  <c r="O250" i="14"/>
  <c r="L241" i="14"/>
  <c r="P220" i="14"/>
  <c r="O279" i="14"/>
  <c r="I278" i="14"/>
  <c r="K240" i="14"/>
  <c r="K279" i="14"/>
  <c r="J278" i="14"/>
  <c r="P279" i="14"/>
  <c r="M135" i="14"/>
  <c r="P141" i="14"/>
  <c r="P123" i="14"/>
  <c r="J112" i="14"/>
  <c r="J108" i="14" s="1"/>
  <c r="L184" i="14"/>
  <c r="O192" i="14"/>
  <c r="P179" i="14"/>
  <c r="Q179" i="14" s="1"/>
  <c r="K179" i="14"/>
  <c r="P109" i="14"/>
  <c r="Q109" i="14" s="1"/>
  <c r="K109" i="14"/>
  <c r="O116" i="14"/>
  <c r="N192" i="14"/>
  <c r="M184" i="14"/>
  <c r="P192" i="14"/>
  <c r="P158" i="14"/>
  <c r="Q1790" i="14" l="1"/>
  <c r="N1539" i="14"/>
  <c r="M112" i="14"/>
  <c r="N116" i="14"/>
  <c r="K1408" i="14"/>
  <c r="K1569" i="14"/>
  <c r="O1014" i="14"/>
  <c r="Q1014" i="14" s="1"/>
  <c r="Q1569" i="14"/>
  <c r="O619" i="14"/>
  <c r="K1871" i="14"/>
  <c r="Q314" i="14"/>
  <c r="P1871" i="14"/>
  <c r="L1385" i="14"/>
  <c r="O1385" i="14" s="1"/>
  <c r="O199" i="14"/>
  <c r="Q199" i="14" s="1"/>
  <c r="K403" i="14"/>
  <c r="L313" i="14"/>
  <c r="N313" i="14" s="1"/>
  <c r="Q1799" i="14"/>
  <c r="N1692" i="14"/>
  <c r="O683" i="14"/>
  <c r="Q683" i="14" s="1"/>
  <c r="L1681" i="14"/>
  <c r="L1680" i="14" s="1"/>
  <c r="N1680" i="14" s="1"/>
  <c r="K1167" i="14"/>
  <c r="Q1167" i="14"/>
  <c r="N314" i="14"/>
  <c r="O1389" i="14"/>
  <c r="Q1389" i="14" s="1"/>
  <c r="K220" i="14"/>
  <c r="L135" i="14"/>
  <c r="O135" i="14" s="1"/>
  <c r="O141" i="14"/>
  <c r="Q141" i="14" s="1"/>
  <c r="Q1840" i="14"/>
  <c r="O1290" i="14"/>
  <c r="M313" i="14"/>
  <c r="M293" i="14" s="1"/>
  <c r="P293" i="14" s="1"/>
  <c r="K1367" i="14"/>
  <c r="K538" i="14"/>
  <c r="Q1367" i="14"/>
  <c r="N323" i="14"/>
  <c r="O123" i="14"/>
  <c r="Q123" i="14" s="1"/>
  <c r="M1384" i="14"/>
  <c r="M1363" i="14" s="1"/>
  <c r="K550" i="14"/>
  <c r="P241" i="14"/>
  <c r="Q1086" i="14"/>
  <c r="Q220" i="14"/>
  <c r="Q1440" i="14"/>
  <c r="K1713" i="14"/>
  <c r="N1608" i="14"/>
  <c r="Q400" i="14"/>
  <c r="Q987" i="14"/>
  <c r="O1814" i="14"/>
  <c r="L1548" i="14"/>
  <c r="N1548" i="14" s="1"/>
  <c r="O1713" i="14"/>
  <c r="Q1713" i="14" s="1"/>
  <c r="O351" i="14"/>
  <c r="Q351" i="14" s="1"/>
  <c r="Q1508" i="14"/>
  <c r="N1557" i="14"/>
  <c r="L1598" i="14"/>
  <c r="K987" i="14"/>
  <c r="K1508" i="14"/>
  <c r="Q1557" i="14"/>
  <c r="L883" i="14"/>
  <c r="O883" i="14" s="1"/>
  <c r="L1650" i="14"/>
  <c r="N1650" i="14" s="1"/>
  <c r="O1787" i="14"/>
  <c r="Q1787" i="14" s="1"/>
  <c r="J1384" i="14"/>
  <c r="J1363" i="14" s="1"/>
  <c r="Q1402" i="14"/>
  <c r="Q1778" i="14"/>
  <c r="O978" i="14"/>
  <c r="Q978" i="14" s="1"/>
  <c r="K1815" i="14"/>
  <c r="K1143" i="14"/>
  <c r="Q1658" i="14"/>
  <c r="K1778" i="14"/>
  <c r="N1787" i="14"/>
  <c r="Q116" i="14"/>
  <c r="O1539" i="14"/>
  <c r="Q1539" i="14" s="1"/>
  <c r="I313" i="14"/>
  <c r="I293" i="14" s="1"/>
  <c r="K293" i="14" s="1"/>
  <c r="Q1340" i="14"/>
  <c r="N1658" i="14"/>
  <c r="N1184" i="14"/>
  <c r="O1601" i="14"/>
  <c r="Q1601" i="14" s="1"/>
  <c r="Q297" i="14"/>
  <c r="O1815" i="14"/>
  <c r="Q1815" i="14" s="1"/>
  <c r="I112" i="14"/>
  <c r="K112" i="14" s="1"/>
  <c r="P1396" i="14"/>
  <c r="Q1396" i="14" s="1"/>
  <c r="K123" i="14"/>
  <c r="Q1005" i="14"/>
  <c r="Q1531" i="14"/>
  <c r="O1608" i="14"/>
  <c r="Q1608" i="14" s="1"/>
  <c r="O1723" i="14"/>
  <c r="Q1723" i="14" s="1"/>
  <c r="P1108" i="14"/>
  <c r="K1005" i="14"/>
  <c r="N1531" i="14"/>
  <c r="I1722" i="14"/>
  <c r="O1722" i="14" s="1"/>
  <c r="Q1722" i="14" s="1"/>
  <c r="Q250" i="14"/>
  <c r="K1912" i="14"/>
  <c r="O1487" i="14"/>
  <c r="Q1487" i="14" s="1"/>
  <c r="O1670" i="14"/>
  <c r="Q1670" i="14" s="1"/>
  <c r="L112" i="14"/>
  <c r="K1487" i="14"/>
  <c r="Q1871" i="14"/>
  <c r="O323" i="14"/>
  <c r="Q323" i="14" s="1"/>
  <c r="Q1766" i="14"/>
  <c r="O1746" i="14"/>
  <c r="Q1746" i="14" s="1"/>
  <c r="I1734" i="14"/>
  <c r="Q704" i="14"/>
  <c r="K1622" i="14"/>
  <c r="K1856" i="14"/>
  <c r="M1632" i="14"/>
  <c r="N1632" i="14" s="1"/>
  <c r="I1607" i="14"/>
  <c r="K1607" i="14" s="1"/>
  <c r="K970" i="14"/>
  <c r="O1334" i="14"/>
  <c r="Q1334" i="14" s="1"/>
  <c r="K1334" i="14"/>
  <c r="N905" i="14"/>
  <c r="Q408" i="14"/>
  <c r="O131" i="14"/>
  <c r="Q131" i="14" s="1"/>
  <c r="K131" i="14"/>
  <c r="O1526" i="14"/>
  <c r="Q1526" i="14" s="1"/>
  <c r="K1526" i="14"/>
  <c r="I1507" i="14"/>
  <c r="K1507" i="14" s="1"/>
  <c r="Q1827" i="14"/>
  <c r="N1865" i="14"/>
  <c r="I1900" i="14"/>
  <c r="K1900" i="14" s="1"/>
  <c r="Q547" i="14"/>
  <c r="O1901" i="14"/>
  <c r="Q1901" i="14" s="1"/>
  <c r="O1632" i="14"/>
  <c r="O1865" i="14"/>
  <c r="Q1865" i="14" s="1"/>
  <c r="K1847" i="14"/>
  <c r="J1750" i="14"/>
  <c r="Q1412" i="14"/>
  <c r="M1058" i="14"/>
  <c r="O671" i="14"/>
  <c r="Q671" i="14" s="1"/>
  <c r="K671" i="14"/>
  <c r="O693" i="14"/>
  <c r="Q693" i="14" s="1"/>
  <c r="O1032" i="14"/>
  <c r="Q1032" i="14" s="1"/>
  <c r="Q1847" i="14"/>
  <c r="K1633" i="14"/>
  <c r="O1633" i="14"/>
  <c r="Q1633" i="14" s="1"/>
  <c r="Q1765" i="14"/>
  <c r="P1837" i="14"/>
  <c r="J1836" i="14"/>
  <c r="P1836" i="14" s="1"/>
  <c r="I1751" i="14"/>
  <c r="K1752" i="14"/>
  <c r="N1633" i="14"/>
  <c r="K1135" i="14"/>
  <c r="L1058" i="14"/>
  <c r="O1089" i="14"/>
  <c r="Q1089" i="14" s="1"/>
  <c r="K1765" i="14"/>
  <c r="Q847" i="14"/>
  <c r="Q1202" i="14"/>
  <c r="N619" i="14"/>
  <c r="P619" i="14"/>
  <c r="P550" i="14"/>
  <c r="Q550" i="14" s="1"/>
  <c r="Q615" i="14"/>
  <c r="O1184" i="14"/>
  <c r="Q662" i="14"/>
  <c r="O562" i="14"/>
  <c r="Q562" i="14" s="1"/>
  <c r="I1680" i="14"/>
  <c r="K1681" i="14"/>
  <c r="O1709" i="14"/>
  <c r="K1709" i="14"/>
  <c r="J1333" i="14"/>
  <c r="P1333" i="14" s="1"/>
  <c r="Q1333" i="14" s="1"/>
  <c r="L413" i="14"/>
  <c r="O414" i="14"/>
  <c r="Q414" i="14" s="1"/>
  <c r="P1184" i="14"/>
  <c r="I1836" i="14"/>
  <c r="O1837" i="14"/>
  <c r="K1837" i="14"/>
  <c r="M1899" i="14"/>
  <c r="N1899" i="14" s="1"/>
  <c r="N1900" i="14"/>
  <c r="K1337" i="14"/>
  <c r="P1449" i="14"/>
  <c r="Q1449" i="14" s="1"/>
  <c r="K1449" i="14"/>
  <c r="O158" i="14"/>
  <c r="Q158" i="14" s="1"/>
  <c r="Q1870" i="14"/>
  <c r="Q1762" i="14"/>
  <c r="K1119" i="14"/>
  <c r="O1119" i="14"/>
  <c r="Q1119" i="14" s="1"/>
  <c r="K1870" i="14"/>
  <c r="N1434" i="14"/>
  <c r="O1434" i="14"/>
  <c r="Q1434" i="14" s="1"/>
  <c r="L1433" i="14"/>
  <c r="N1433" i="14" s="1"/>
  <c r="N538" i="14"/>
  <c r="P538" i="14"/>
  <c r="Q538" i="14" s="1"/>
  <c r="I520" i="14"/>
  <c r="I497" i="14" s="1"/>
  <c r="M213" i="14"/>
  <c r="N414" i="14"/>
  <c r="Q1222" i="14"/>
  <c r="K1670" i="14"/>
  <c r="O254" i="14"/>
  <c r="Q254" i="14" s="1"/>
  <c r="Q1710" i="14"/>
  <c r="N1752" i="14"/>
  <c r="M1750" i="14"/>
  <c r="P1752" i="14"/>
  <c r="O231" i="14"/>
  <c r="Q231" i="14" s="1"/>
  <c r="K231" i="14"/>
  <c r="L713" i="14"/>
  <c r="O735" i="14"/>
  <c r="Q735" i="14" s="1"/>
  <c r="N735" i="14"/>
  <c r="Q1070" i="14"/>
  <c r="I253" i="14"/>
  <c r="O253" i="14" s="1"/>
  <c r="Q253" i="14" s="1"/>
  <c r="M938" i="14"/>
  <c r="N938" i="14" s="1"/>
  <c r="Q1078" i="14"/>
  <c r="K1078" i="14"/>
  <c r="N1032" i="14"/>
  <c r="K1070" i="14"/>
  <c r="O1752" i="14"/>
  <c r="L1750" i="14"/>
  <c r="N823" i="14"/>
  <c r="P823" i="14"/>
  <c r="N1290" i="14"/>
  <c r="P1290" i="14"/>
  <c r="K1787" i="14"/>
  <c r="I1786" i="14"/>
  <c r="Q1337" i="14"/>
  <c r="Q1135" i="14"/>
  <c r="K1437" i="14"/>
  <c r="I1433" i="14"/>
  <c r="O1437" i="14"/>
  <c r="Q1437" i="14" s="1"/>
  <c r="O948" i="14"/>
  <c r="Q948" i="14" s="1"/>
  <c r="K948" i="14"/>
  <c r="K662" i="14"/>
  <c r="P1814" i="14"/>
  <c r="M1855" i="14"/>
  <c r="N1856" i="14"/>
  <c r="P1856" i="14"/>
  <c r="N1709" i="14"/>
  <c r="M1708" i="14"/>
  <c r="P1709" i="14"/>
  <c r="L1855" i="14"/>
  <c r="O1856" i="14"/>
  <c r="N1786" i="14"/>
  <c r="M1777" i="14"/>
  <c r="K1632" i="14"/>
  <c r="P1650" i="14"/>
  <c r="J1597" i="14"/>
  <c r="N1607" i="14"/>
  <c r="M1598" i="14"/>
  <c r="P1607" i="14"/>
  <c r="P1507" i="14"/>
  <c r="N1385" i="14"/>
  <c r="K1453" i="14"/>
  <c r="O1453" i="14"/>
  <c r="Q1453" i="14" s="1"/>
  <c r="N1408" i="14"/>
  <c r="P1408" i="14"/>
  <c r="Q1408" i="14" s="1"/>
  <c r="Q1385" i="14"/>
  <c r="O81" i="14"/>
  <c r="Q81" i="14" s="1"/>
  <c r="K81" i="14"/>
  <c r="O823" i="14"/>
  <c r="K823" i="14"/>
  <c r="Q817" i="14"/>
  <c r="L913" i="14"/>
  <c r="N913" i="14" s="1"/>
  <c r="O933" i="14"/>
  <c r="Q933" i="14" s="1"/>
  <c r="N933" i="14"/>
  <c r="O498" i="14"/>
  <c r="Q498" i="14" s="1"/>
  <c r="K498" i="14"/>
  <c r="O346" i="14"/>
  <c r="Q346" i="14" s="1"/>
  <c r="N693" i="14"/>
  <c r="N1245" i="14"/>
  <c r="P1245" i="14"/>
  <c r="I707" i="14"/>
  <c r="K214" i="14"/>
  <c r="O214" i="14"/>
  <c r="Q214" i="14" s="1"/>
  <c r="O602" i="14"/>
  <c r="Q602" i="14" s="1"/>
  <c r="L593" i="14"/>
  <c r="O593" i="14" s="1"/>
  <c r="O1245" i="14"/>
  <c r="K1245" i="14"/>
  <c r="N306" i="14"/>
  <c r="K1127" i="14"/>
  <c r="O1151" i="14"/>
  <c r="Q1151" i="14" s="1"/>
  <c r="I1058" i="14"/>
  <c r="K1058" i="14" s="1"/>
  <c r="Q1311" i="14"/>
  <c r="O583" i="14"/>
  <c r="Q583" i="14" s="1"/>
  <c r="K583" i="14"/>
  <c r="M1205" i="14"/>
  <c r="N1221" i="14"/>
  <c r="P1221" i="14"/>
  <c r="O574" i="14"/>
  <c r="Q574" i="14" s="1"/>
  <c r="K574" i="14"/>
  <c r="P403" i="14"/>
  <c r="Q403" i="14" s="1"/>
  <c r="I938" i="14"/>
  <c r="O938" i="14" s="1"/>
  <c r="N606" i="14"/>
  <c r="O606" i="14"/>
  <c r="Q606" i="14" s="1"/>
  <c r="O270" i="14"/>
  <c r="Q270" i="14" s="1"/>
  <c r="L264" i="14"/>
  <c r="N270" i="14"/>
  <c r="Q1127" i="14"/>
  <c r="L294" i="14"/>
  <c r="O294" i="14" s="1"/>
  <c r="J497" i="14"/>
  <c r="O1023" i="14"/>
  <c r="Q1023" i="14" s="1"/>
  <c r="K1023" i="14"/>
  <c r="Q905" i="14"/>
  <c r="Q1059" i="14"/>
  <c r="K1224" i="14"/>
  <c r="O631" i="14"/>
  <c r="Q631" i="14" s="1"/>
  <c r="K631" i="14"/>
  <c r="N792" i="14"/>
  <c r="M707" i="14"/>
  <c r="K996" i="14"/>
  <c r="Q996" i="14"/>
  <c r="J1048" i="14"/>
  <c r="O1241" i="14"/>
  <c r="Q1241" i="14" s="1"/>
  <c r="L1224" i="14"/>
  <c r="N1224" i="14" s="1"/>
  <c r="N1241" i="14"/>
  <c r="L1205" i="14"/>
  <c r="O1221" i="14"/>
  <c r="Q1264" i="14"/>
  <c r="K1184" i="14"/>
  <c r="O792" i="14"/>
  <c r="Q792" i="14" s="1"/>
  <c r="K1311" i="14"/>
  <c r="K82" i="14"/>
  <c r="O82" i="14"/>
  <c r="Q82" i="14" s="1"/>
  <c r="O650" i="14"/>
  <c r="Q650" i="14" s="1"/>
  <c r="K650" i="14"/>
  <c r="K1059" i="14"/>
  <c r="N602" i="14"/>
  <c r="O1286" i="14"/>
  <c r="Q1286" i="14" s="1"/>
  <c r="L1269" i="14"/>
  <c r="O1269" i="14" s="1"/>
  <c r="Q1269" i="14" s="1"/>
  <c r="O1108" i="14"/>
  <c r="K1108" i="14"/>
  <c r="P883" i="14"/>
  <c r="O741" i="14"/>
  <c r="Q741" i="14" s="1"/>
  <c r="K741" i="14"/>
  <c r="P593" i="14"/>
  <c r="M520" i="14"/>
  <c r="P1344" i="14"/>
  <c r="Q1344" i="14" s="1"/>
  <c r="K1344" i="14"/>
  <c r="O788" i="14"/>
  <c r="Q788" i="14" s="1"/>
  <c r="L765" i="14"/>
  <c r="N788" i="14"/>
  <c r="O877" i="14"/>
  <c r="Q877" i="14" s="1"/>
  <c r="L853" i="14"/>
  <c r="N877" i="14"/>
  <c r="Q306" i="14"/>
  <c r="I381" i="14"/>
  <c r="K389" i="14"/>
  <c r="O389" i="14"/>
  <c r="K1151" i="14"/>
  <c r="K346" i="14"/>
  <c r="J371" i="14"/>
  <c r="N389" i="14"/>
  <c r="M381" i="14"/>
  <c r="P389" i="14"/>
  <c r="P294" i="14"/>
  <c r="O278" i="14"/>
  <c r="L240" i="14"/>
  <c r="O241" i="14"/>
  <c r="N241" i="14"/>
  <c r="Q279" i="14"/>
  <c r="J213" i="14"/>
  <c r="K278" i="14"/>
  <c r="P278" i="14"/>
  <c r="O184" i="14"/>
  <c r="Q192" i="14"/>
  <c r="M108" i="14"/>
  <c r="N184" i="14"/>
  <c r="P184" i="14"/>
  <c r="P135" i="14"/>
  <c r="P112" i="14"/>
  <c r="N1058" i="14" l="1"/>
  <c r="Q278" i="14"/>
  <c r="Q1290" i="14"/>
  <c r="Q619" i="14"/>
  <c r="N1681" i="14"/>
  <c r="O1681" i="14"/>
  <c r="Q1681" i="14" s="1"/>
  <c r="L108" i="14"/>
  <c r="P313" i="14"/>
  <c r="O313" i="14"/>
  <c r="Q135" i="14"/>
  <c r="K313" i="14"/>
  <c r="N883" i="14"/>
  <c r="N135" i="14"/>
  <c r="Q1108" i="14"/>
  <c r="L520" i="14"/>
  <c r="L497" i="14" s="1"/>
  <c r="O497" i="14" s="1"/>
  <c r="Q1814" i="14"/>
  <c r="P1363" i="14"/>
  <c r="O1548" i="14"/>
  <c r="Q1548" i="14" s="1"/>
  <c r="L1507" i="14"/>
  <c r="N1507" i="14" s="1"/>
  <c r="Q241" i="14"/>
  <c r="P1384" i="14"/>
  <c r="O913" i="14"/>
  <c r="Q913" i="14" s="1"/>
  <c r="K520" i="14"/>
  <c r="N1598" i="14"/>
  <c r="O1650" i="14"/>
  <c r="Q1650" i="14" s="1"/>
  <c r="I108" i="14"/>
  <c r="K108" i="14" s="1"/>
  <c r="L1597" i="14"/>
  <c r="Q883" i="14"/>
  <c r="Q1709" i="14"/>
  <c r="O112" i="14"/>
  <c r="I1708" i="14"/>
  <c r="O1708" i="14" s="1"/>
  <c r="N112" i="14"/>
  <c r="K1722" i="14"/>
  <c r="P1899" i="14"/>
  <c r="M1597" i="14"/>
  <c r="I1899" i="14"/>
  <c r="O1899" i="14" s="1"/>
  <c r="P1632" i="14"/>
  <c r="Q1632" i="14" s="1"/>
  <c r="I1598" i="14"/>
  <c r="K1598" i="14" s="1"/>
  <c r="L1384" i="14"/>
  <c r="L1363" i="14" s="1"/>
  <c r="N1363" i="14" s="1"/>
  <c r="O1734" i="14"/>
  <c r="Q1734" i="14" s="1"/>
  <c r="K1734" i="14"/>
  <c r="O1607" i="14"/>
  <c r="Q1607" i="14" s="1"/>
  <c r="I213" i="14"/>
  <c r="K213" i="14" s="1"/>
  <c r="K253" i="14"/>
  <c r="Q1752" i="14"/>
  <c r="J1707" i="14"/>
  <c r="O1751" i="14"/>
  <c r="Q1751" i="14" s="1"/>
  <c r="I1750" i="14"/>
  <c r="K1750" i="14" s="1"/>
  <c r="K1751" i="14"/>
  <c r="Q1837" i="14"/>
  <c r="O1224" i="14"/>
  <c r="Q1224" i="14" s="1"/>
  <c r="P1058" i="14"/>
  <c r="Q112" i="14"/>
  <c r="O1900" i="14"/>
  <c r="Q1900" i="14" s="1"/>
  <c r="Q823" i="14"/>
  <c r="N593" i="14"/>
  <c r="P938" i="14"/>
  <c r="Q938" i="14" s="1"/>
  <c r="Q1184" i="14"/>
  <c r="Q593" i="14"/>
  <c r="O413" i="14"/>
  <c r="Q413" i="14" s="1"/>
  <c r="N413" i="14"/>
  <c r="O1680" i="14"/>
  <c r="Q1680" i="14" s="1"/>
  <c r="K1680" i="14"/>
  <c r="N1750" i="14"/>
  <c r="L371" i="14"/>
  <c r="K1333" i="14"/>
  <c r="N1269" i="14"/>
  <c r="O1836" i="14"/>
  <c r="Q1836" i="14" s="1"/>
  <c r="K1836" i="14"/>
  <c r="K1433" i="14"/>
  <c r="O1433" i="14"/>
  <c r="Q1433" i="14" s="1"/>
  <c r="I1384" i="14"/>
  <c r="P1750" i="14"/>
  <c r="K938" i="14"/>
  <c r="O1786" i="14"/>
  <c r="Q1786" i="14" s="1"/>
  <c r="K1786" i="14"/>
  <c r="I1777" i="14"/>
  <c r="N713" i="14"/>
  <c r="O713" i="14"/>
  <c r="Q713" i="14" s="1"/>
  <c r="N1777" i="14"/>
  <c r="P1777" i="14"/>
  <c r="N1855" i="14"/>
  <c r="P1855" i="14"/>
  <c r="O1855" i="14"/>
  <c r="L1707" i="14"/>
  <c r="M1707" i="14"/>
  <c r="N1708" i="14"/>
  <c r="P1708" i="14"/>
  <c r="Q1856" i="14"/>
  <c r="P1598" i="14"/>
  <c r="M497" i="14"/>
  <c r="L707" i="14"/>
  <c r="N707" i="14" s="1"/>
  <c r="N765" i="14"/>
  <c r="O765" i="14"/>
  <c r="Q765" i="14" s="1"/>
  <c r="L293" i="14"/>
  <c r="O293" i="14" s="1"/>
  <c r="Q293" i="14" s="1"/>
  <c r="K381" i="14"/>
  <c r="O381" i="14"/>
  <c r="I380" i="14"/>
  <c r="L1048" i="14"/>
  <c r="O1205" i="14"/>
  <c r="O1058" i="14"/>
  <c r="I1048" i="14"/>
  <c r="I496" i="14" s="1"/>
  <c r="N294" i="14"/>
  <c r="N264" i="14"/>
  <c r="O264" i="14"/>
  <c r="Q264" i="14" s="1"/>
  <c r="P707" i="14"/>
  <c r="Q184" i="14"/>
  <c r="Q1221" i="14"/>
  <c r="K707" i="14"/>
  <c r="N108" i="14"/>
  <c r="O853" i="14"/>
  <c r="Q853" i="14" s="1"/>
  <c r="N853" i="14"/>
  <c r="J496" i="14"/>
  <c r="K497" i="14"/>
  <c r="Q1245" i="14"/>
  <c r="N1205" i="14"/>
  <c r="M1048" i="14"/>
  <c r="P1048" i="14" s="1"/>
  <c r="P1205" i="14"/>
  <c r="Q389" i="14"/>
  <c r="P520" i="14"/>
  <c r="M380" i="14"/>
  <c r="N381" i="14"/>
  <c r="P381" i="14"/>
  <c r="Q294" i="14"/>
  <c r="P213" i="14"/>
  <c r="L213" i="14"/>
  <c r="N213" i="14" s="1"/>
  <c r="N240" i="14"/>
  <c r="O240" i="14"/>
  <c r="Q240" i="14" s="1"/>
  <c r="P108" i="14"/>
  <c r="O520" i="14" l="1"/>
  <c r="N497" i="14"/>
  <c r="Q313" i="14"/>
  <c r="K1048" i="14"/>
  <c r="N520" i="14"/>
  <c r="O108" i="14"/>
  <c r="Q1899" i="14"/>
  <c r="I1597" i="14"/>
  <c r="O1597" i="14" s="1"/>
  <c r="O1507" i="14"/>
  <c r="Q1507" i="14" s="1"/>
  <c r="Q1058" i="14"/>
  <c r="K1597" i="14"/>
  <c r="N1597" i="14"/>
  <c r="N1384" i="14"/>
  <c r="K1899" i="14"/>
  <c r="O1598" i="14"/>
  <c r="Q1598" i="14" s="1"/>
  <c r="K1708" i="14"/>
  <c r="O1384" i="14"/>
  <c r="Q1384" i="14" s="1"/>
  <c r="P1597" i="14"/>
  <c r="Q1597" i="14" s="1"/>
  <c r="Q1708" i="14"/>
  <c r="O1750" i="14"/>
  <c r="Q1750" i="14" s="1"/>
  <c r="O1048" i="14"/>
  <c r="Q1048" i="14" s="1"/>
  <c r="Q1205" i="14"/>
  <c r="N293" i="14"/>
  <c r="O707" i="14"/>
  <c r="Q707" i="14" s="1"/>
  <c r="I1363" i="14"/>
  <c r="K1384" i="14"/>
  <c r="O1777" i="14"/>
  <c r="Q1777" i="14" s="1"/>
  <c r="I1707" i="14"/>
  <c r="K1707" i="14" s="1"/>
  <c r="K1777" i="14"/>
  <c r="P497" i="14"/>
  <c r="Q497" i="14" s="1"/>
  <c r="L496" i="14"/>
  <c r="O496" i="14" s="1"/>
  <c r="N1707" i="14"/>
  <c r="P1707" i="14"/>
  <c r="Q1855" i="14"/>
  <c r="M496" i="14"/>
  <c r="N496" i="14" s="1"/>
  <c r="N1048" i="14"/>
  <c r="Q108" i="14"/>
  <c r="K380" i="14"/>
  <c r="O380" i="14"/>
  <c r="I371" i="14"/>
  <c r="K496" i="14"/>
  <c r="Q381" i="14"/>
  <c r="Q520" i="14"/>
  <c r="N380" i="14"/>
  <c r="M371" i="14"/>
  <c r="P380" i="14"/>
  <c r="O213" i="14"/>
  <c r="Q213" i="14" s="1"/>
  <c r="Q380" i="14" l="1"/>
  <c r="O1707" i="14"/>
  <c r="Q1707" i="14"/>
  <c r="P496" i="14"/>
  <c r="Q496" i="14" s="1"/>
  <c r="K1363" i="14"/>
  <c r="O1363" i="14"/>
  <c r="Q1363" i="14" s="1"/>
  <c r="O371" i="14"/>
  <c r="K371" i="14"/>
  <c r="N371" i="14"/>
  <c r="P371" i="14"/>
  <c r="Q371" i="14" l="1"/>
  <c r="F323" i="13" l="1"/>
  <c r="E323" i="13"/>
  <c r="F58" i="13" l="1"/>
  <c r="F54" i="13"/>
  <c r="F52" i="13" s="1"/>
  <c r="F86" i="13"/>
  <c r="F72" i="13"/>
  <c r="M45" i="14" l="1"/>
  <c r="M40" i="14"/>
  <c r="F301" i="13" l="1"/>
  <c r="F307" i="13"/>
  <c r="F296" i="13"/>
  <c r="F305" i="13"/>
  <c r="F289" i="13"/>
  <c r="F275" i="13"/>
  <c r="N29" i="15" l="1"/>
  <c r="N23" i="15" l="1"/>
  <c r="N22" i="15" s="1"/>
  <c r="F40" i="13" l="1"/>
  <c r="F349" i="13" l="1"/>
  <c r="F32" i="13"/>
  <c r="F27" i="13"/>
  <c r="F26" i="13" s="1"/>
  <c r="F25" i="13"/>
  <c r="F16" i="13"/>
  <c r="O33" i="15"/>
  <c r="O32" i="15"/>
  <c r="O27" i="15"/>
  <c r="O26" i="15"/>
  <c r="O25" i="15"/>
  <c r="O24" i="15"/>
  <c r="N31" i="15"/>
  <c r="J6" i="15"/>
  <c r="J16" i="15" l="1"/>
  <c r="F24" i="13"/>
  <c r="N43" i="14" l="1"/>
  <c r="N44" i="14"/>
  <c r="F13" i="15" l="1"/>
  <c r="F14" i="15" l="1"/>
  <c r="F16" i="15"/>
  <c r="J13" i="15" l="1"/>
  <c r="F12" i="15"/>
  <c r="F10" i="15"/>
  <c r="F9" i="15"/>
  <c r="F8" i="15"/>
  <c r="J7" i="15"/>
  <c r="F7" i="15"/>
  <c r="F6" i="15"/>
  <c r="N16" i="15"/>
  <c r="J15" i="15"/>
  <c r="J9" i="15" l="1"/>
  <c r="N13" i="15"/>
  <c r="J12" i="15"/>
  <c r="F11" i="15"/>
  <c r="J10" i="15"/>
  <c r="N9" i="15"/>
  <c r="J8" i="15"/>
  <c r="N7" i="15"/>
  <c r="N6" i="15"/>
  <c r="J14" i="15"/>
  <c r="F15" i="15"/>
  <c r="N10" i="15" l="1"/>
  <c r="N12" i="15"/>
  <c r="J11" i="15"/>
  <c r="N11" i="15" s="1"/>
  <c r="N8" i="15"/>
  <c r="N15" i="15"/>
  <c r="N14" i="15"/>
  <c r="K14" i="14" l="1"/>
  <c r="K16" i="14"/>
  <c r="K20" i="14"/>
  <c r="K23" i="14"/>
  <c r="K27" i="14"/>
  <c r="K28" i="14"/>
  <c r="K29" i="14"/>
  <c r="K30" i="14"/>
  <c r="K32" i="14"/>
  <c r="K34" i="14"/>
  <c r="K36" i="14"/>
  <c r="K47" i="14"/>
  <c r="K50" i="14"/>
  <c r="K51" i="14"/>
  <c r="K64" i="14"/>
  <c r="K65" i="14"/>
  <c r="K66" i="14"/>
  <c r="K68" i="14"/>
  <c r="P13" i="14"/>
  <c r="P14" i="14"/>
  <c r="P15" i="14"/>
  <c r="P16" i="14"/>
  <c r="P17" i="14"/>
  <c r="P20" i="14"/>
  <c r="P23" i="14"/>
  <c r="P25" i="14"/>
  <c r="P27" i="14"/>
  <c r="P28" i="14"/>
  <c r="P29" i="14"/>
  <c r="P30" i="14"/>
  <c r="P32" i="14"/>
  <c r="P34" i="14"/>
  <c r="P35" i="14"/>
  <c r="P36" i="14"/>
  <c r="P37" i="14"/>
  <c r="P40" i="14"/>
  <c r="P41" i="14"/>
  <c r="P43" i="14"/>
  <c r="P44" i="14"/>
  <c r="P45" i="14"/>
  <c r="P47" i="14"/>
  <c r="P49" i="14"/>
  <c r="P50" i="14"/>
  <c r="P51" i="14"/>
  <c r="P54" i="14"/>
  <c r="P56" i="14"/>
  <c r="P57" i="14"/>
  <c r="P58" i="14"/>
  <c r="P59" i="14"/>
  <c r="P61" i="14"/>
  <c r="P63" i="14"/>
  <c r="P64" i="14"/>
  <c r="P65" i="14"/>
  <c r="P66" i="14"/>
  <c r="P68" i="14"/>
  <c r="P69" i="14"/>
  <c r="P71" i="14"/>
  <c r="P72" i="14"/>
  <c r="M39" i="14"/>
  <c r="M42" i="14"/>
  <c r="M53" i="14"/>
  <c r="M55" i="14"/>
  <c r="P55" i="14" s="1"/>
  <c r="J12" i="14"/>
  <c r="J11" i="14" s="1"/>
  <c r="J19" i="14"/>
  <c r="J18" i="14" s="1"/>
  <c r="P18" i="14" s="1"/>
  <c r="J22" i="14"/>
  <c r="J21" i="14" s="1"/>
  <c r="P21" i="14" s="1"/>
  <c r="J26" i="14"/>
  <c r="P26" i="14" s="1"/>
  <c r="J33" i="14"/>
  <c r="J31" i="14" s="1"/>
  <c r="J48" i="14"/>
  <c r="J46" i="14" s="1"/>
  <c r="J62" i="14"/>
  <c r="J67" i="14"/>
  <c r="J70" i="14"/>
  <c r="J69" i="14" s="1"/>
  <c r="G355" i="13"/>
  <c r="G356" i="13"/>
  <c r="G357" i="13"/>
  <c r="G358" i="13"/>
  <c r="G359" i="13"/>
  <c r="G360" i="13"/>
  <c r="G363" i="13"/>
  <c r="G364" i="13"/>
  <c r="G365" i="13"/>
  <c r="G366" i="13"/>
  <c r="G367" i="13"/>
  <c r="G368" i="13"/>
  <c r="G369" i="13"/>
  <c r="G371" i="13"/>
  <c r="G373" i="13"/>
  <c r="G374" i="13"/>
  <c r="G375" i="13"/>
  <c r="G376" i="13"/>
  <c r="G377" i="13"/>
  <c r="G378" i="13"/>
  <c r="G379" i="13"/>
  <c r="G380" i="13"/>
  <c r="G381" i="13"/>
  <c r="G383" i="13"/>
  <c r="G384" i="13"/>
  <c r="G385" i="13"/>
  <c r="G389" i="13"/>
  <c r="G350" i="13"/>
  <c r="G349" i="13"/>
  <c r="F347" i="13"/>
  <c r="F346" i="13" s="1"/>
  <c r="F345" i="13" s="1"/>
  <c r="F354" i="13"/>
  <c r="F353" i="13" s="1"/>
  <c r="F352" i="13" s="1"/>
  <c r="F388" i="13"/>
  <c r="F387" i="13" s="1"/>
  <c r="F386" i="13" s="1"/>
  <c r="G17" i="13"/>
  <c r="G18" i="13"/>
  <c r="G19" i="13"/>
  <c r="G25" i="13"/>
  <c r="G27" i="13"/>
  <c r="G30" i="13"/>
  <c r="G31" i="13"/>
  <c r="G32" i="13"/>
  <c r="G34" i="13"/>
  <c r="G35" i="13"/>
  <c r="G36" i="13"/>
  <c r="G38" i="13"/>
  <c r="G42" i="13"/>
  <c r="G45" i="13"/>
  <c r="G51" i="13"/>
  <c r="G53" i="13"/>
  <c r="G54" i="13"/>
  <c r="G57" i="13"/>
  <c r="G60" i="13"/>
  <c r="G61" i="13"/>
  <c r="G62" i="13"/>
  <c r="G64" i="13"/>
  <c r="G65" i="13"/>
  <c r="G67" i="13"/>
  <c r="G68" i="13"/>
  <c r="G69" i="13"/>
  <c r="G71" i="13"/>
  <c r="G72" i="13"/>
  <c r="G74" i="13"/>
  <c r="G75" i="13"/>
  <c r="G77" i="13"/>
  <c r="G79" i="13"/>
  <c r="G80" i="13"/>
  <c r="G82" i="13"/>
  <c r="G84" i="13"/>
  <c r="G85" i="13"/>
  <c r="G88" i="13"/>
  <c r="G89" i="13"/>
  <c r="G94" i="13"/>
  <c r="G98" i="13"/>
  <c r="G99" i="13"/>
  <c r="G103" i="13"/>
  <c r="G106" i="13"/>
  <c r="G107" i="13"/>
  <c r="G110" i="13"/>
  <c r="G111" i="13"/>
  <c r="G115" i="13"/>
  <c r="G118" i="13"/>
  <c r="G119" i="13"/>
  <c r="G123" i="13"/>
  <c r="G126" i="13"/>
  <c r="G127" i="13"/>
  <c r="G131" i="13"/>
  <c r="G135" i="13"/>
  <c r="G138" i="13"/>
  <c r="G139" i="13"/>
  <c r="G142" i="13"/>
  <c r="G143" i="13"/>
  <c r="G147" i="13"/>
  <c r="G149" i="13"/>
  <c r="G151" i="13"/>
  <c r="G154" i="13"/>
  <c r="G158" i="13"/>
  <c r="G163" i="13"/>
  <c r="G167" i="13"/>
  <c r="G168" i="13"/>
  <c r="G169" i="13"/>
  <c r="G171" i="13"/>
  <c r="G173" i="13"/>
  <c r="G175" i="13"/>
  <c r="G177" i="13"/>
  <c r="G178" i="13"/>
  <c r="G179" i="13"/>
  <c r="G181" i="13"/>
  <c r="G183" i="13"/>
  <c r="G184" i="13"/>
  <c r="G186" i="13"/>
  <c r="G187" i="13"/>
  <c r="G189" i="13"/>
  <c r="G190" i="13"/>
  <c r="G192" i="13"/>
  <c r="G194" i="13"/>
  <c r="G195" i="13"/>
  <c r="G197" i="13"/>
  <c r="G200" i="13"/>
  <c r="G202" i="13"/>
  <c r="G206" i="13"/>
  <c r="G209" i="13"/>
  <c r="G212" i="13"/>
  <c r="G223" i="13"/>
  <c r="G229" i="13"/>
  <c r="G230" i="13"/>
  <c r="G236" i="13"/>
  <c r="G240" i="13"/>
  <c r="G246" i="13"/>
  <c r="G251" i="13"/>
  <c r="G254" i="13"/>
  <c r="G258" i="13"/>
  <c r="G264" i="13"/>
  <c r="G269" i="13"/>
  <c r="G276" i="13"/>
  <c r="G277" i="13"/>
  <c r="G278" i="13"/>
  <c r="G282" i="13"/>
  <c r="G283" i="13"/>
  <c r="G284" i="13"/>
  <c r="G289" i="13"/>
  <c r="G292" i="13"/>
  <c r="G297" i="13"/>
  <c r="G299" i="13"/>
  <c r="G305" i="13"/>
  <c r="G306" i="13"/>
  <c r="G307" i="13"/>
  <c r="G308" i="13"/>
  <c r="G309" i="13"/>
  <c r="G310" i="13"/>
  <c r="G311" i="13"/>
  <c r="G314" i="13"/>
  <c r="G315" i="13"/>
  <c r="G316" i="13"/>
  <c r="G319" i="13"/>
  <c r="G326" i="13"/>
  <c r="G330" i="13"/>
  <c r="G333" i="13"/>
  <c r="G335" i="13"/>
  <c r="G15" i="13"/>
  <c r="G14" i="13"/>
  <c r="G13" i="13"/>
  <c r="F9" i="13"/>
  <c r="F12" i="13"/>
  <c r="F29" i="13"/>
  <c r="F37" i="13"/>
  <c r="F47" i="13"/>
  <c r="F46" i="13" s="1"/>
  <c r="F50" i="13"/>
  <c r="F56" i="13"/>
  <c r="F63" i="13"/>
  <c r="F66" i="13"/>
  <c r="F70" i="13"/>
  <c r="F73" i="13"/>
  <c r="F76" i="13"/>
  <c r="F78" i="13"/>
  <c r="F81" i="13"/>
  <c r="F83" i="13"/>
  <c r="F87" i="13"/>
  <c r="F91" i="13"/>
  <c r="F93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8" i="13"/>
  <c r="F150" i="13"/>
  <c r="F152" i="13"/>
  <c r="F155" i="13"/>
  <c r="F161" i="13"/>
  <c r="F164" i="13"/>
  <c r="F170" i="13"/>
  <c r="F172" i="13"/>
  <c r="F174" i="13"/>
  <c r="F176" i="13"/>
  <c r="F182" i="13"/>
  <c r="F188" i="13"/>
  <c r="F193" i="13"/>
  <c r="F196" i="13"/>
  <c r="F199" i="13"/>
  <c r="F201" i="13"/>
  <c r="F205" i="13"/>
  <c r="F208" i="13"/>
  <c r="F211" i="13"/>
  <c r="F216" i="13"/>
  <c r="F219" i="13"/>
  <c r="F222" i="13"/>
  <c r="F224" i="13"/>
  <c r="F228" i="13"/>
  <c r="F232" i="13"/>
  <c r="F235" i="13"/>
  <c r="F239" i="13"/>
  <c r="F242" i="13"/>
  <c r="F245" i="13"/>
  <c r="F250" i="13"/>
  <c r="F253" i="13"/>
  <c r="F257" i="13"/>
  <c r="F260" i="13"/>
  <c r="F263" i="13"/>
  <c r="F268" i="13"/>
  <c r="F270" i="13"/>
  <c r="F281" i="13"/>
  <c r="F298" i="13"/>
  <c r="F300" i="13"/>
  <c r="F313" i="13"/>
  <c r="F312" i="13" s="1"/>
  <c r="F318" i="13"/>
  <c r="F320" i="13"/>
  <c r="F325" i="13"/>
  <c r="F322" i="13" s="1"/>
  <c r="F329" i="13"/>
  <c r="F328" i="13" s="1"/>
  <c r="F332" i="13"/>
  <c r="F334" i="13"/>
  <c r="F337" i="13"/>
  <c r="F336" i="13" s="1"/>
  <c r="P33" i="14" l="1"/>
  <c r="P19" i="14"/>
  <c r="P70" i="14"/>
  <c r="P22" i="14"/>
  <c r="F249" i="13"/>
  <c r="P67" i="14"/>
  <c r="P62" i="14"/>
  <c r="P53" i="14"/>
  <c r="P48" i="14"/>
  <c r="P42" i="14"/>
  <c r="P39" i="14"/>
  <c r="P12" i="14"/>
  <c r="P11" i="14"/>
  <c r="F274" i="13"/>
  <c r="F317" i="13"/>
  <c r="F207" i="13"/>
  <c r="M52" i="14"/>
  <c r="M38" i="14"/>
  <c r="J24" i="14"/>
  <c r="J60" i="14"/>
  <c r="F351" i="13"/>
  <c r="F11" i="13"/>
  <c r="F49" i="13"/>
  <c r="F90" i="13"/>
  <c r="F95" i="13"/>
  <c r="F221" i="13"/>
  <c r="F241" i="13"/>
  <c r="F259" i="13"/>
  <c r="F331" i="13"/>
  <c r="F198" i="13"/>
  <c r="F160" i="13"/>
  <c r="F267" i="13"/>
  <c r="F23" i="13"/>
  <c r="F215" i="13"/>
  <c r="F231" i="13"/>
  <c r="M46" i="14" l="1"/>
  <c r="P52" i="14"/>
  <c r="P60" i="14"/>
  <c r="M31" i="14"/>
  <c r="P38" i="14"/>
  <c r="J10" i="14"/>
  <c r="P24" i="14"/>
  <c r="F390" i="13"/>
  <c r="F8" i="13"/>
  <c r="F7" i="13" s="1"/>
  <c r="F273" i="13"/>
  <c r="F22" i="13"/>
  <c r="J9" i="14" l="1"/>
  <c r="P10" i="14"/>
  <c r="F272" i="13"/>
  <c r="F339" i="13" s="1"/>
  <c r="F5" i="15"/>
  <c r="P46" i="14"/>
  <c r="M9" i="14"/>
  <c r="P9" i="14" s="1"/>
  <c r="P31" i="14"/>
  <c r="F4" i="15"/>
  <c r="J3" i="15"/>
  <c r="F397" i="13"/>
  <c r="J5" i="15" l="1"/>
  <c r="J4" i="15" s="1"/>
  <c r="F3" i="15"/>
  <c r="F396" i="13"/>
  <c r="E301" i="13"/>
  <c r="G301" i="13" s="1"/>
  <c r="E287" i="13"/>
  <c r="G287" i="13" s="1"/>
  <c r="E290" i="13"/>
  <c r="G290" i="13" s="1"/>
  <c r="E338" i="13"/>
  <c r="G338" i="13" s="1"/>
  <c r="I25" i="14"/>
  <c r="K25" i="14" s="1"/>
  <c r="E332" i="13"/>
  <c r="G332" i="13" s="1"/>
  <c r="E286" i="13"/>
  <c r="G286" i="13" s="1"/>
  <c r="E214" i="13"/>
  <c r="G214" i="13" s="1"/>
  <c r="E243" i="13"/>
  <c r="G243" i="13" s="1"/>
  <c r="E261" i="13"/>
  <c r="G261" i="13" s="1"/>
  <c r="N5" i="15" l="1"/>
  <c r="F398" i="13"/>
  <c r="N3" i="15"/>
  <c r="F17" i="15"/>
  <c r="N4" i="15" l="1"/>
  <c r="J18" i="15"/>
  <c r="N19" i="15" l="1"/>
  <c r="N35" i="15" s="1"/>
  <c r="E303" i="13"/>
  <c r="G303" i="13" s="1"/>
  <c r="E156" i="13"/>
  <c r="G156" i="13" s="1"/>
  <c r="E146" i="13"/>
  <c r="G146" i="13" s="1"/>
  <c r="E134" i="13"/>
  <c r="G134" i="13" s="1"/>
  <c r="E130" i="13"/>
  <c r="G130" i="13" s="1"/>
  <c r="E122" i="13"/>
  <c r="G122" i="13" s="1"/>
  <c r="E114" i="13"/>
  <c r="G114" i="13" s="1"/>
  <c r="E102" i="13"/>
  <c r="G102" i="13" s="1"/>
  <c r="E93" i="13"/>
  <c r="G93" i="13" s="1"/>
  <c r="E92" i="13"/>
  <c r="G92" i="13" s="1"/>
  <c r="E33" i="13"/>
  <c r="G33" i="13" s="1"/>
  <c r="E10" i="13"/>
  <c r="G10" i="13" s="1"/>
  <c r="L56" i="14"/>
  <c r="N56" i="14" s="1"/>
  <c r="L54" i="14"/>
  <c r="N54" i="14" s="1"/>
  <c r="E288" i="13"/>
  <c r="G288" i="13" s="1"/>
  <c r="E291" i="13"/>
  <c r="G291" i="13" s="1"/>
  <c r="I13" i="14"/>
  <c r="K13" i="14" s="1"/>
  <c r="I49" i="14"/>
  <c r="K49" i="14" s="1"/>
  <c r="I37" i="14"/>
  <c r="K37" i="14" s="1"/>
  <c r="I35" i="14"/>
  <c r="K35" i="14" s="1"/>
  <c r="E321" i="13" l="1"/>
  <c r="G321" i="13" s="1"/>
  <c r="E362" i="13"/>
  <c r="G362" i="13" s="1"/>
  <c r="E361" i="13"/>
  <c r="G361" i="13" s="1"/>
  <c r="M31" i="15"/>
  <c r="O31" i="15" s="1"/>
  <c r="E348" i="13" l="1"/>
  <c r="G348" i="13" s="1"/>
  <c r="L45" i="14" l="1"/>
  <c r="N45" i="14" s="1"/>
  <c r="L40" i="14"/>
  <c r="N40" i="14" s="1"/>
  <c r="O66" i="14" l="1"/>
  <c r="Q66" i="14" s="1"/>
  <c r="I61" i="14"/>
  <c r="K61" i="14" s="1"/>
  <c r="E337" i="13"/>
  <c r="E329" i="13"/>
  <c r="E313" i="13"/>
  <c r="G313" i="13" s="1"/>
  <c r="E281" i="13"/>
  <c r="G281" i="13" s="1"/>
  <c r="E262" i="13"/>
  <c r="G262" i="13" s="1"/>
  <c r="E257" i="13"/>
  <c r="G257" i="13" s="1"/>
  <c r="E252" i="13"/>
  <c r="G252" i="13" s="1"/>
  <c r="E244" i="13"/>
  <c r="G244" i="13" s="1"/>
  <c r="E234" i="13"/>
  <c r="G234" i="13" s="1"/>
  <c r="E233" i="13"/>
  <c r="G233" i="13" s="1"/>
  <c r="E218" i="13"/>
  <c r="G218" i="13" s="1"/>
  <c r="E210" i="13"/>
  <c r="G210" i="13" s="1"/>
  <c r="E159" i="13"/>
  <c r="G159" i="13" s="1"/>
  <c r="E157" i="13"/>
  <c r="G157" i="13" s="1"/>
  <c r="E86" i="13"/>
  <c r="G86" i="13" s="1"/>
  <c r="E39" i="13"/>
  <c r="G39" i="13" s="1"/>
  <c r="E26" i="13"/>
  <c r="G26" i="13" s="1"/>
  <c r="E336" i="13" l="1"/>
  <c r="G336" i="13" s="1"/>
  <c r="G337" i="13"/>
  <c r="E328" i="13"/>
  <c r="G328" i="13" s="1"/>
  <c r="G329" i="13"/>
  <c r="L41" i="14"/>
  <c r="N41" i="14" s="1"/>
  <c r="E275" i="13"/>
  <c r="G275" i="13" s="1"/>
  <c r="E318" i="13" l="1"/>
  <c r="G318" i="13" s="1"/>
  <c r="E370" i="13"/>
  <c r="G370" i="13" s="1"/>
  <c r="E162" i="13" l="1"/>
  <c r="G162" i="13" s="1"/>
  <c r="I72" i="14" l="1"/>
  <c r="K72" i="14" l="1"/>
  <c r="I15" i="14"/>
  <c r="K15" i="14" s="1"/>
  <c r="M28" i="15" l="1"/>
  <c r="O28" i="15" s="1"/>
  <c r="M23" i="15"/>
  <c r="O23" i="15" s="1"/>
  <c r="I71" i="14"/>
  <c r="K71" i="14" s="1"/>
  <c r="O47" i="14"/>
  <c r="Q47" i="14" s="1"/>
  <c r="E372" i="13"/>
  <c r="G372" i="13" s="1"/>
  <c r="E334" i="13" l="1"/>
  <c r="E304" i="13"/>
  <c r="G304" i="13" s="1"/>
  <c r="E298" i="13"/>
  <c r="G298" i="13" s="1"/>
  <c r="E260" i="13"/>
  <c r="G260" i="13" s="1"/>
  <c r="E250" i="13"/>
  <c r="G250" i="13" s="1"/>
  <c r="E239" i="13"/>
  <c r="G239" i="13" s="1"/>
  <c r="E237" i="13"/>
  <c r="G237" i="13" s="1"/>
  <c r="E232" i="13"/>
  <c r="G232" i="13" s="1"/>
  <c r="E228" i="13"/>
  <c r="G228" i="13" s="1"/>
  <c r="E208" i="13"/>
  <c r="G208" i="13" s="1"/>
  <c r="E20" i="13"/>
  <c r="G20" i="13" s="1"/>
  <c r="E388" i="13"/>
  <c r="O44" i="14"/>
  <c r="Q44" i="14" s="1"/>
  <c r="E387" i="13" l="1"/>
  <c r="G388" i="13"/>
  <c r="G334" i="13"/>
  <c r="E331" i="13"/>
  <c r="G331" i="13" s="1"/>
  <c r="E354" i="13"/>
  <c r="G354" i="13" s="1"/>
  <c r="E386" i="13" l="1"/>
  <c r="G386" i="13" s="1"/>
  <c r="G387" i="13"/>
  <c r="O51" i="14" l="1"/>
  <c r="Q51" i="14" s="1"/>
  <c r="E327" i="13" l="1"/>
  <c r="G327" i="13" s="1"/>
  <c r="E191" i="13"/>
  <c r="G191" i="13" s="1"/>
  <c r="E185" i="13"/>
  <c r="G185" i="13" s="1"/>
  <c r="E180" i="13"/>
  <c r="G180" i="13" s="1"/>
  <c r="E166" i="13"/>
  <c r="G166" i="13" s="1"/>
  <c r="E165" i="13"/>
  <c r="G165" i="13" s="1"/>
  <c r="E164" i="13" l="1"/>
  <c r="G164" i="13" s="1"/>
  <c r="O32" i="14" l="1"/>
  <c r="Q32" i="14" s="1"/>
  <c r="I17" i="14" l="1"/>
  <c r="K17" i="14" s="1"/>
  <c r="E312" i="13"/>
  <c r="G312" i="13" s="1"/>
  <c r="O43" i="14" l="1"/>
  <c r="Q43" i="14" s="1"/>
  <c r="E174" i="13"/>
  <c r="G174" i="13" s="1"/>
  <c r="E91" i="13"/>
  <c r="G91" i="13" s="1"/>
  <c r="I6" i="15"/>
  <c r="B23" i="15"/>
  <c r="B24" i="15" s="1"/>
  <c r="B25" i="15" s="1"/>
  <c r="M29" i="15"/>
  <c r="O29" i="15" s="1"/>
  <c r="E90" i="13" l="1"/>
  <c r="B26" i="15"/>
  <c r="B27" i="15" s="1"/>
  <c r="B28" i="15" s="1"/>
  <c r="B29" i="15" s="1"/>
  <c r="G90" i="13" l="1"/>
  <c r="L55" i="14"/>
  <c r="L39" i="14"/>
  <c r="N39" i="14" s="1"/>
  <c r="O41" i="14"/>
  <c r="Q41" i="14" s="1"/>
  <c r="I33" i="14"/>
  <c r="I22" i="14"/>
  <c r="M30" i="15"/>
  <c r="O30" i="15" s="1"/>
  <c r="E353" i="13"/>
  <c r="E266" i="13"/>
  <c r="G266" i="13" s="1"/>
  <c r="E265" i="13"/>
  <c r="G265" i="13" s="1"/>
  <c r="E256" i="13"/>
  <c r="G256" i="13" s="1"/>
  <c r="E255" i="13"/>
  <c r="G255" i="13" s="1"/>
  <c r="E238" i="13"/>
  <c r="G238" i="13" s="1"/>
  <c r="E248" i="13"/>
  <c r="G248" i="13" s="1"/>
  <c r="E247" i="13"/>
  <c r="G247" i="13" s="1"/>
  <c r="E227" i="13"/>
  <c r="G227" i="13" s="1"/>
  <c r="E226" i="13"/>
  <c r="G226" i="13" s="1"/>
  <c r="E220" i="13"/>
  <c r="E213" i="13"/>
  <c r="G213" i="13" s="1"/>
  <c r="E204" i="13"/>
  <c r="G204" i="13" s="1"/>
  <c r="E203" i="13"/>
  <c r="G203" i="13" s="1"/>
  <c r="E48" i="13"/>
  <c r="G48" i="13" s="1"/>
  <c r="E271" i="13"/>
  <c r="E145" i="13"/>
  <c r="E141" i="13"/>
  <c r="E137" i="13"/>
  <c r="E133" i="13"/>
  <c r="E129" i="13"/>
  <c r="E125" i="13"/>
  <c r="E121" i="13"/>
  <c r="E153" i="13"/>
  <c r="E117" i="13"/>
  <c r="E113" i="13"/>
  <c r="E109" i="13"/>
  <c r="E105" i="13"/>
  <c r="E101" i="13"/>
  <c r="E97" i="13"/>
  <c r="O72" i="14"/>
  <c r="Q72" i="14" s="1"/>
  <c r="O71" i="14"/>
  <c r="Q71" i="14" s="1"/>
  <c r="O68" i="14"/>
  <c r="Q68" i="14" s="1"/>
  <c r="O65" i="14"/>
  <c r="Q65" i="14" s="1"/>
  <c r="O64" i="14"/>
  <c r="Q64" i="14" s="1"/>
  <c r="O61" i="14"/>
  <c r="Q61" i="14" s="1"/>
  <c r="O59" i="14"/>
  <c r="O58" i="14"/>
  <c r="O57" i="14"/>
  <c r="O54" i="14"/>
  <c r="Q54" i="14" s="1"/>
  <c r="O50" i="14"/>
  <c r="Q50" i="14" s="1"/>
  <c r="O45" i="14"/>
  <c r="Q45" i="14" s="1"/>
  <c r="O40" i="14"/>
  <c r="Q40" i="14" s="1"/>
  <c r="O36" i="14"/>
  <c r="Q36" i="14" s="1"/>
  <c r="O35" i="14"/>
  <c r="Q35" i="14" s="1"/>
  <c r="O34" i="14"/>
  <c r="Q34" i="14" s="1"/>
  <c r="O30" i="14"/>
  <c r="Q30" i="14" s="1"/>
  <c r="O29" i="14"/>
  <c r="Q29" i="14" s="1"/>
  <c r="O28" i="14"/>
  <c r="Q28" i="14" s="1"/>
  <c r="O27" i="14"/>
  <c r="Q27" i="14" s="1"/>
  <c r="O25" i="14"/>
  <c r="Q25" i="14" s="1"/>
  <c r="O23" i="14"/>
  <c r="Q23" i="14" s="1"/>
  <c r="O20" i="14"/>
  <c r="Q20" i="14" s="1"/>
  <c r="O17" i="14"/>
  <c r="Q17" i="14" s="1"/>
  <c r="O16" i="14"/>
  <c r="Q16" i="14" s="1"/>
  <c r="O15" i="14"/>
  <c r="Q15" i="14" s="1"/>
  <c r="O14" i="14"/>
  <c r="Q14" i="14" s="1"/>
  <c r="O13" i="14"/>
  <c r="Q13" i="14" s="1"/>
  <c r="E242" i="13"/>
  <c r="G242" i="13" s="1"/>
  <c r="E225" i="13"/>
  <c r="G225" i="13" s="1"/>
  <c r="E217" i="13"/>
  <c r="L53" i="14"/>
  <c r="L42" i="14"/>
  <c r="I63" i="14"/>
  <c r="I70" i="14"/>
  <c r="I67" i="14"/>
  <c r="I48" i="14"/>
  <c r="I26" i="14"/>
  <c r="I19" i="14"/>
  <c r="I12" i="14"/>
  <c r="K12" i="14" s="1"/>
  <c r="E325" i="13"/>
  <c r="E320" i="13"/>
  <c r="E300" i="13"/>
  <c r="G300" i="13" s="1"/>
  <c r="E268" i="13"/>
  <c r="G268" i="13" s="1"/>
  <c r="E222" i="13"/>
  <c r="G222" i="13" s="1"/>
  <c r="E205" i="13"/>
  <c r="G205" i="13" s="1"/>
  <c r="E199" i="13"/>
  <c r="G199" i="13" s="1"/>
  <c r="E196" i="13"/>
  <c r="G196" i="13" s="1"/>
  <c r="E193" i="13"/>
  <c r="G193" i="13" s="1"/>
  <c r="E188" i="13"/>
  <c r="G188" i="13" s="1"/>
  <c r="E182" i="13"/>
  <c r="G182" i="13" s="1"/>
  <c r="E176" i="13"/>
  <c r="G176" i="13" s="1"/>
  <c r="E172" i="13"/>
  <c r="G172" i="13" s="1"/>
  <c r="E170" i="13"/>
  <c r="G170" i="13" s="1"/>
  <c r="E161" i="13"/>
  <c r="G161" i="13" s="1"/>
  <c r="E155" i="13"/>
  <c r="G155" i="13" s="1"/>
  <c r="E150" i="13"/>
  <c r="G150" i="13" s="1"/>
  <c r="E148" i="13"/>
  <c r="G148" i="13" s="1"/>
  <c r="E87" i="13"/>
  <c r="G87" i="13" s="1"/>
  <c r="E83" i="13"/>
  <c r="G83" i="13" s="1"/>
  <c r="E81" i="13"/>
  <c r="G81" i="13" s="1"/>
  <c r="E78" i="13"/>
  <c r="G78" i="13" s="1"/>
  <c r="E76" i="13"/>
  <c r="G76" i="13" s="1"/>
  <c r="E73" i="13"/>
  <c r="G73" i="13" s="1"/>
  <c r="E70" i="13"/>
  <c r="G70" i="13" s="1"/>
  <c r="E66" i="13"/>
  <c r="G66" i="13" s="1"/>
  <c r="E63" i="13"/>
  <c r="G63" i="13" s="1"/>
  <c r="E56" i="13"/>
  <c r="G56" i="13" s="1"/>
  <c r="E52" i="13"/>
  <c r="G52" i="13" s="1"/>
  <c r="E50" i="13"/>
  <c r="G50" i="13" s="1"/>
  <c r="E40" i="13"/>
  <c r="G40" i="13" s="1"/>
  <c r="E37" i="13"/>
  <c r="G37" i="13" s="1"/>
  <c r="E29" i="13"/>
  <c r="G29" i="13" s="1"/>
  <c r="E24" i="13"/>
  <c r="G24" i="13" s="1"/>
  <c r="E9" i="13"/>
  <c r="G9" i="13" s="1"/>
  <c r="E12" i="13"/>
  <c r="E16" i="13"/>
  <c r="G16" i="13" s="1"/>
  <c r="E347" i="13"/>
  <c r="E58" i="13"/>
  <c r="G58" i="13" s="1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346" i="13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8" i="13"/>
  <c r="B9" i="13" s="1"/>
  <c r="B10" i="13" s="1"/>
  <c r="B11" i="13" s="1"/>
  <c r="B12" i="13" s="1"/>
  <c r="B13" i="13" s="1"/>
  <c r="B14" i="13" s="1"/>
  <c r="B15" i="13" s="1"/>
  <c r="B16" i="13" s="1"/>
  <c r="B17" i="13" s="1"/>
  <c r="I18" i="14" l="1"/>
  <c r="K19" i="14"/>
  <c r="O67" i="14"/>
  <c r="Q67" i="14" s="1"/>
  <c r="K67" i="14"/>
  <c r="O42" i="14"/>
  <c r="Q42" i="14" s="1"/>
  <c r="N42" i="14"/>
  <c r="I62" i="14"/>
  <c r="O62" i="14" s="1"/>
  <c r="Q62" i="14" s="1"/>
  <c r="K63" i="14"/>
  <c r="I69" i="14"/>
  <c r="K70" i="14"/>
  <c r="O22" i="14"/>
  <c r="Q22" i="14" s="1"/>
  <c r="K22" i="14"/>
  <c r="I31" i="14"/>
  <c r="K31" i="14" s="1"/>
  <c r="K33" i="14"/>
  <c r="O55" i="14"/>
  <c r="Q55" i="14" s="1"/>
  <c r="N55" i="14"/>
  <c r="I24" i="14"/>
  <c r="K26" i="14"/>
  <c r="I46" i="14"/>
  <c r="K46" i="14" s="1"/>
  <c r="K48" i="14"/>
  <c r="O53" i="14"/>
  <c r="Q53" i="14" s="1"/>
  <c r="N53" i="14"/>
  <c r="B18" i="13"/>
  <c r="B19" i="13" s="1"/>
  <c r="B20" i="13" s="1"/>
  <c r="B21" i="13" s="1"/>
  <c r="B22" i="13" s="1"/>
  <c r="B23" i="13" s="1"/>
  <c r="B24" i="13" s="1"/>
  <c r="E11" i="13"/>
  <c r="G11" i="13" s="1"/>
  <c r="G12" i="13"/>
  <c r="E152" i="13"/>
  <c r="G152" i="13" s="1"/>
  <c r="G153" i="13"/>
  <c r="E120" i="13"/>
  <c r="G120" i="13" s="1"/>
  <c r="G121" i="13"/>
  <c r="E352" i="13"/>
  <c r="G353" i="13"/>
  <c r="E136" i="13"/>
  <c r="G136" i="13" s="1"/>
  <c r="G137" i="13"/>
  <c r="E108" i="13"/>
  <c r="G108" i="13" s="1"/>
  <c r="G109" i="13"/>
  <c r="E116" i="13"/>
  <c r="G116" i="13" s="1"/>
  <c r="G117" i="13"/>
  <c r="E128" i="13"/>
  <c r="G128" i="13" s="1"/>
  <c r="G129" i="13"/>
  <c r="E140" i="13"/>
  <c r="G140" i="13" s="1"/>
  <c r="G141" i="13"/>
  <c r="E270" i="13"/>
  <c r="G270" i="13" s="1"/>
  <c r="G271" i="13"/>
  <c r="E216" i="13"/>
  <c r="G216" i="13" s="1"/>
  <c r="G217" i="13"/>
  <c r="E144" i="13"/>
  <c r="G144" i="13" s="1"/>
  <c r="G145" i="13"/>
  <c r="E317" i="13"/>
  <c r="G317" i="13" s="1"/>
  <c r="G320" i="13"/>
  <c r="E96" i="13"/>
  <c r="G97" i="13"/>
  <c r="E124" i="13"/>
  <c r="G124" i="13" s="1"/>
  <c r="G125" i="13"/>
  <c r="E132" i="13"/>
  <c r="G132" i="13" s="1"/>
  <c r="G133" i="13"/>
  <c r="E100" i="13"/>
  <c r="G100" i="13" s="1"/>
  <c r="G101" i="13"/>
  <c r="E112" i="13"/>
  <c r="G112" i="13" s="1"/>
  <c r="G113" i="13"/>
  <c r="E322" i="13"/>
  <c r="G322" i="13" s="1"/>
  <c r="G325" i="13"/>
  <c r="E219" i="13"/>
  <c r="G219" i="13" s="1"/>
  <c r="G220" i="13"/>
  <c r="E346" i="13"/>
  <c r="G347" i="13"/>
  <c r="E104" i="13"/>
  <c r="G104" i="13" s="1"/>
  <c r="G105" i="13"/>
  <c r="B357" i="13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E274" i="13"/>
  <c r="G274" i="13" s="1"/>
  <c r="B27" i="14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M22" i="15"/>
  <c r="I16" i="15"/>
  <c r="K16" i="15" s="1"/>
  <c r="O48" i="14"/>
  <c r="Q48" i="14" s="1"/>
  <c r="O39" i="14"/>
  <c r="Q39" i="14" s="1"/>
  <c r="L38" i="14"/>
  <c r="O33" i="14"/>
  <c r="Q33" i="14" s="1"/>
  <c r="O12" i="14"/>
  <c r="Q12" i="14" s="1"/>
  <c r="I11" i="14"/>
  <c r="O56" i="14"/>
  <c r="Q56" i="14" s="1"/>
  <c r="E160" i="13"/>
  <c r="E201" i="13"/>
  <c r="E253" i="13"/>
  <c r="E263" i="13"/>
  <c r="G263" i="13" s="1"/>
  <c r="E224" i="13"/>
  <c r="G224" i="13" s="1"/>
  <c r="E211" i="13"/>
  <c r="E235" i="13"/>
  <c r="E23" i="13"/>
  <c r="G23" i="13" s="1"/>
  <c r="O70" i="14"/>
  <c r="Q70" i="14" s="1"/>
  <c r="E49" i="13"/>
  <c r="E245" i="13"/>
  <c r="E47" i="13"/>
  <c r="O19" i="14"/>
  <c r="Q19" i="14" s="1"/>
  <c r="I21" i="14"/>
  <c r="O26" i="14"/>
  <c r="Q26" i="14" s="1"/>
  <c r="O49" i="14"/>
  <c r="Q49" i="14" s="1"/>
  <c r="L52" i="14"/>
  <c r="O63" i="14"/>
  <c r="Q63" i="14" s="1"/>
  <c r="O37" i="14"/>
  <c r="Q37" i="14" s="1"/>
  <c r="O21" i="14" l="1"/>
  <c r="Q21" i="14" s="1"/>
  <c r="K21" i="14"/>
  <c r="O69" i="14"/>
  <c r="Q69" i="14" s="1"/>
  <c r="K69" i="14"/>
  <c r="I60" i="14"/>
  <c r="K62" i="14"/>
  <c r="O11" i="14"/>
  <c r="Q11" i="14" s="1"/>
  <c r="K11" i="14"/>
  <c r="L46" i="14"/>
  <c r="N46" i="14" s="1"/>
  <c r="N52" i="14"/>
  <c r="O24" i="14"/>
  <c r="Q24" i="14" s="1"/>
  <c r="K24" i="14"/>
  <c r="O38" i="14"/>
  <c r="Q38" i="14" s="1"/>
  <c r="N38" i="14"/>
  <c r="O18" i="14"/>
  <c r="Q18" i="14" s="1"/>
  <c r="K18" i="14"/>
  <c r="G96" i="13"/>
  <c r="O22" i="15"/>
  <c r="E13" i="15"/>
  <c r="G13" i="15" s="1"/>
  <c r="B25" i="13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E267" i="13"/>
  <c r="E8" i="13"/>
  <c r="E7" i="13" s="1"/>
  <c r="E207" i="13"/>
  <c r="G211" i="13"/>
  <c r="E231" i="13"/>
  <c r="G235" i="13"/>
  <c r="G267" i="13"/>
  <c r="G49" i="13"/>
  <c r="E249" i="13"/>
  <c r="G253" i="13"/>
  <c r="E215" i="13"/>
  <c r="E351" i="13"/>
  <c r="G351" i="13" s="1"/>
  <c r="G352" i="13"/>
  <c r="E198" i="13"/>
  <c r="G201" i="13"/>
  <c r="E95" i="13"/>
  <c r="G160" i="13"/>
  <c r="E46" i="13"/>
  <c r="G47" i="13"/>
  <c r="E241" i="13"/>
  <c r="G241" i="13" s="1"/>
  <c r="G245" i="13"/>
  <c r="G8" i="13"/>
  <c r="E345" i="13"/>
  <c r="G346" i="13"/>
  <c r="E259" i="13"/>
  <c r="E221" i="13"/>
  <c r="B60" i="14"/>
  <c r="B61" i="14" s="1"/>
  <c r="E273" i="13"/>
  <c r="E272" i="13" s="1"/>
  <c r="I9" i="15"/>
  <c r="K9" i="15" s="1"/>
  <c r="E7" i="15"/>
  <c r="G7" i="15" s="1"/>
  <c r="I12" i="15"/>
  <c r="K12" i="15" s="1"/>
  <c r="I7" i="15"/>
  <c r="K7" i="15" s="1"/>
  <c r="I8" i="15"/>
  <c r="K8" i="15" s="1"/>
  <c r="I15" i="15"/>
  <c r="K15" i="15" s="1"/>
  <c r="E16" i="15"/>
  <c r="G16" i="15" s="1"/>
  <c r="E9" i="15"/>
  <c r="G9" i="15" s="1"/>
  <c r="E6" i="15"/>
  <c r="G6" i="15" s="1"/>
  <c r="O52" i="14"/>
  <c r="Q52" i="14" s="1"/>
  <c r="L31" i="14"/>
  <c r="I10" i="14"/>
  <c r="K10" i="14" s="1"/>
  <c r="K60" i="14" l="1"/>
  <c r="O60" i="14"/>
  <c r="Q60" i="14" s="1"/>
  <c r="I9" i="14"/>
  <c r="K9" i="14" s="1"/>
  <c r="O46" i="14"/>
  <c r="Q46" i="14" s="1"/>
  <c r="B62" i="14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O31" i="14"/>
  <c r="Q31" i="14" s="1"/>
  <c r="N31" i="14"/>
  <c r="E10" i="15"/>
  <c r="G10" i="15" s="1"/>
  <c r="B36" i="13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6" i="13" s="1"/>
  <c r="B57" i="13" s="1"/>
  <c r="B58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G46" i="13"/>
  <c r="G95" i="13"/>
  <c r="G198" i="13"/>
  <c r="G272" i="13"/>
  <c r="G273" i="13"/>
  <c r="E390" i="13"/>
  <c r="I3" i="15" s="1"/>
  <c r="K3" i="15" s="1"/>
  <c r="G221" i="13"/>
  <c r="G215" i="13"/>
  <c r="G259" i="13"/>
  <c r="G249" i="13"/>
  <c r="G231" i="13"/>
  <c r="G207" i="13"/>
  <c r="B374" i="13"/>
  <c r="E22" i="13"/>
  <c r="G22" i="13" s="1"/>
  <c r="I14" i="15"/>
  <c r="K14" i="15" s="1"/>
  <c r="I10" i="15"/>
  <c r="K10" i="15" s="1"/>
  <c r="E12" i="15"/>
  <c r="G12" i="15" s="1"/>
  <c r="E8" i="15"/>
  <c r="G8" i="15" s="1"/>
  <c r="M16" i="15"/>
  <c r="O16" i="15" s="1"/>
  <c r="L9" i="14"/>
  <c r="N9" i="14" s="1"/>
  <c r="M6" i="15"/>
  <c r="O6" i="15" s="1"/>
  <c r="O10" i="14"/>
  <c r="Q10" i="14" s="1"/>
  <c r="E397" i="13" l="1"/>
  <c r="G397" i="13" s="1"/>
  <c r="G390" i="13"/>
  <c r="B375" i="13"/>
  <c r="B376" i="13" s="1"/>
  <c r="B377" i="13" s="1"/>
  <c r="B378" i="13" s="1"/>
  <c r="B379" i="13" s="1"/>
  <c r="B380" i="13" s="1"/>
  <c r="B381" i="13" s="1"/>
  <c r="B383" i="13" s="1"/>
  <c r="B384" i="13" s="1"/>
  <c r="B385" i="13" s="1"/>
  <c r="B386" i="13" s="1"/>
  <c r="B387" i="13" s="1"/>
  <c r="B388" i="13" s="1"/>
  <c r="B389" i="13" s="1"/>
  <c r="B390" i="13" s="1"/>
  <c r="E339" i="13"/>
  <c r="B218" i="13"/>
  <c r="B219" i="13" s="1"/>
  <c r="B220" i="13" s="1"/>
  <c r="B221" i="13" s="1"/>
  <c r="B222" i="13" s="1"/>
  <c r="B223" i="13" s="1"/>
  <c r="B224" i="13" s="1"/>
  <c r="B225" i="13" s="1"/>
  <c r="B226" i="13" s="1"/>
  <c r="B227" i="13" s="1"/>
  <c r="I5" i="15"/>
  <c r="K5" i="15" s="1"/>
  <c r="E15" i="15"/>
  <c r="G15" i="15" s="1"/>
  <c r="E14" i="15"/>
  <c r="G14" i="15" s="1"/>
  <c r="E11" i="15"/>
  <c r="G11" i="15" s="1"/>
  <c r="M8" i="15"/>
  <c r="O8" i="15" s="1"/>
  <c r="M10" i="15"/>
  <c r="O10" i="15" s="1"/>
  <c r="E396" i="13" l="1"/>
  <c r="G339" i="13"/>
  <c r="M14" i="15"/>
  <c r="O14" i="15" s="1"/>
  <c r="E3" i="15"/>
  <c r="G3" i="15" s="1"/>
  <c r="B228" i="13"/>
  <c r="B229" i="13" s="1"/>
  <c r="B230" i="13" s="1"/>
  <c r="B231" i="13" s="1"/>
  <c r="B232" i="13" s="1"/>
  <c r="B233" i="13" s="1"/>
  <c r="M12" i="15"/>
  <c r="O12" i="15" s="1"/>
  <c r="M15" i="15"/>
  <c r="O15" i="15" s="1"/>
  <c r="M9" i="15"/>
  <c r="O9" i="15" s="1"/>
  <c r="M7" i="15"/>
  <c r="O7" i="15" s="1"/>
  <c r="E398" i="13" l="1"/>
  <c r="G396" i="13"/>
  <c r="M3" i="15"/>
  <c r="O3" i="15" s="1"/>
  <c r="B234" i="13"/>
  <c r="B235" i="13" s="1"/>
  <c r="B236" i="13" s="1"/>
  <c r="B237" i="13" s="1"/>
  <c r="B238" i="13" s="1"/>
  <c r="G398" i="13" l="1"/>
  <c r="B239" i="13"/>
  <c r="B240" i="13" s="1"/>
  <c r="B241" i="13" s="1"/>
  <c r="B242" i="13" s="1"/>
  <c r="B243" i="13" s="1"/>
  <c r="B244" i="13" l="1"/>
  <c r="B245" i="13" s="1"/>
  <c r="B246" i="13" s="1"/>
  <c r="B247" i="13" s="1"/>
  <c r="B248" i="13" s="1"/>
  <c r="B249" i="13" s="1"/>
  <c r="B250" i="13" s="1"/>
  <c r="B251" i="13" s="1"/>
  <c r="B252" i="13" l="1"/>
  <c r="B253" i="13" s="1"/>
  <c r="B254" i="13" s="1"/>
  <c r="B255" i="13" s="1"/>
  <c r="B256" i="13" s="1"/>
  <c r="B257" i="13" l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l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l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l="1"/>
  <c r="I11" i="15" l="1"/>
  <c r="K11" i="15" s="1"/>
  <c r="M11" i="15" l="1"/>
  <c r="O11" i="15" s="1"/>
  <c r="E5" i="15" l="1"/>
  <c r="G5" i="15" s="1"/>
  <c r="O9" i="14"/>
  <c r="Q9" i="14" s="1"/>
  <c r="M5" i="15" l="1"/>
  <c r="O5" i="15" s="1"/>
  <c r="E4" i="15"/>
  <c r="G4" i="15" s="1"/>
  <c r="E17" i="15" l="1"/>
  <c r="G17" i="15" s="1"/>
  <c r="I13" i="15" l="1"/>
  <c r="I4" i="15" l="1"/>
  <c r="K13" i="15"/>
  <c r="M13" i="15"/>
  <c r="O13" i="15" s="1"/>
  <c r="K4" i="15" l="1"/>
  <c r="M4" i="15"/>
  <c r="I18" i="15"/>
  <c r="K18" i="15" s="1"/>
  <c r="M19" i="15" l="1"/>
  <c r="O4" i="15"/>
  <c r="M35" i="15" l="1"/>
  <c r="O19" i="15"/>
</calcChain>
</file>

<file path=xl/sharedStrings.xml><?xml version="1.0" encoding="utf-8"?>
<sst xmlns="http://schemas.openxmlformats.org/spreadsheetml/2006/main" count="3019" uniqueCount="769">
  <si>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</si>
  <si>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</si>
  <si>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</si>
  <si>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</si>
  <si>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</si>
  <si>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</si>
  <si>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</si>
  <si>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</si>
  <si>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</si>
  <si>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</si>
  <si>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</si>
  <si>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</si>
  <si>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</si>
  <si>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</si>
  <si>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</si>
  <si>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</si>
  <si>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</si>
  <si>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</si>
  <si>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</si>
  <si>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</si>
  <si>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</si>
  <si>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</si>
  <si>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</si>
  <si>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</si>
  <si>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</si>
  <si>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</si>
  <si>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</si>
  <si>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</si>
  <si>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</si>
  <si>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</si>
  <si>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</si>
  <si>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</si>
  <si>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</si>
  <si>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</si>
  <si>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</si>
  <si>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</si>
  <si>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</si>
  <si>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</si>
  <si>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</si>
  <si>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Kapitálové príjmy spolu</t>
  </si>
  <si>
    <t>PRÍJMY Spolu</t>
  </si>
  <si>
    <t>Miestne médiá</t>
  </si>
  <si>
    <t>Fontány</t>
  </si>
  <si>
    <t>Verejné toalety</t>
  </si>
  <si>
    <t>Správa a údržba pozem.komunikácií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</si>
  <si>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</si>
  <si>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</si>
  <si>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</si>
  <si>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</si>
  <si>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</si>
  <si>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</si>
  <si>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</si>
  <si>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</si>
  <si>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</si>
  <si>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</si>
  <si>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</si>
  <si>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</si>
  <si>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</si>
  <si>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</si>
  <si>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</si>
  <si>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</si>
  <si>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</si>
  <si>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</si>
  <si>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</si>
  <si>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</si>
  <si>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</si>
  <si>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</si>
  <si>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</si>
  <si>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</si>
  <si>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</si>
  <si>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</si>
  <si>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</si>
  <si>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</si>
  <si>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</si>
  <si>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</si>
  <si>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</si>
  <si>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</si>
  <si>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</si>
  <si>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</si>
  <si>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</si>
  <si>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Rekonštrukcia a modernizácia</t>
  </si>
  <si>
    <t>71 44</t>
  </si>
  <si>
    <t>MŠ Halašu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</si>
  <si>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</si>
  <si>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</si>
  <si>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</si>
  <si>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</si>
  <si>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</si>
  <si>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</si>
  <si>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</si>
  <si>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</si>
  <si>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</si>
  <si>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</si>
  <si>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</si>
  <si>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</si>
  <si>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MŠ  Turkovej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</si>
  <si>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</si>
  <si>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</si>
  <si>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</si>
  <si>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</si>
  <si>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</si>
  <si>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</si>
  <si>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</si>
  <si>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</si>
  <si>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</si>
  <si>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</si>
  <si>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</si>
  <si>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</si>
  <si>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</si>
  <si>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</si>
  <si>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</si>
  <si>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</si>
  <si>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</si>
  <si>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</si>
  <si>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</si>
  <si>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</si>
  <si>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</si>
  <si>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</si>
  <si>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</si>
  <si>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</si>
  <si>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</si>
  <si>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</si>
  <si>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</si>
  <si>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</si>
  <si>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</si>
  <si>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</si>
  <si>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</si>
  <si>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</si>
  <si>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</si>
  <si>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</si>
  <si>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</si>
  <si>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</si>
  <si>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</si>
  <si>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</si>
  <si>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</si>
  <si>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</si>
  <si>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</si>
  <si>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</si>
  <si>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</si>
  <si>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</si>
  <si>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</si>
  <si>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</si>
  <si>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</si>
  <si>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</si>
  <si>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</si>
  <si>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</si>
  <si>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</si>
  <si>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</si>
  <si>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</si>
  <si>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</si>
  <si>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</si>
  <si>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</si>
  <si>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</si>
  <si>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</si>
  <si>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</si>
  <si>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</si>
  <si>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</si>
  <si>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</si>
  <si>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</si>
  <si>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</si>
  <si>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</si>
  <si>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</si>
  <si>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</si>
  <si>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</si>
  <si>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</si>
  <si>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</si>
  <si>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</si>
  <si>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</si>
  <si>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</si>
  <si>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</si>
  <si>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</si>
  <si>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</si>
  <si>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</si>
  <si>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</si>
  <si>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</si>
  <si>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</si>
  <si>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</si>
  <si>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</si>
  <si>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</si>
  <si>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</si>
  <si>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</si>
  <si>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</si>
  <si>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</si>
  <si>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</si>
  <si>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</si>
  <si>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</si>
  <si>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</si>
  <si>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</si>
  <si>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</si>
  <si>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</si>
  <si>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</si>
  <si>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</si>
  <si>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</si>
  <si>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</si>
  <si>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</si>
  <si>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</si>
  <si>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</si>
  <si>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</si>
  <si>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</si>
  <si>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</si>
  <si>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</si>
  <si>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</si>
  <si>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</si>
  <si>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</si>
  <si>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</si>
  <si>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</si>
  <si>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</si>
  <si>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</si>
  <si>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</si>
  <si>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</si>
  <si>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</si>
  <si>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</si>
  <si>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</si>
  <si>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</si>
  <si>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</si>
  <si>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</si>
  <si>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</si>
  <si>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</si>
  <si>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</si>
  <si>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</si>
  <si>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</si>
  <si>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</si>
  <si>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</si>
  <si>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</si>
  <si>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</si>
  <si>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</si>
  <si>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</si>
  <si>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</si>
  <si>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</si>
  <si>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</si>
  <si>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</si>
  <si>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</si>
  <si>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</si>
  <si>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</si>
  <si>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</si>
  <si>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</si>
  <si>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</si>
  <si>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</si>
  <si>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</si>
  <si>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</si>
  <si>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</si>
  <si>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</si>
  <si>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</si>
  <si>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</si>
  <si>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</si>
  <si>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</si>
  <si>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</si>
  <si>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</si>
  <si>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</si>
  <si>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</si>
  <si>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</si>
  <si>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</si>
  <si>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</si>
  <si>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</si>
  <si>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</si>
  <si>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</si>
  <si>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</si>
  <si>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</si>
  <si>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</si>
  <si>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Vojnové hroby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</si>
  <si>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</si>
  <si>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</si>
  <si>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</si>
  <si>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</si>
  <si>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</si>
  <si>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</si>
  <si>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</si>
  <si>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</si>
  <si>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</si>
  <si>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</si>
  <si>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</si>
  <si>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Trenčiansky futbalový klub 1939 Záblatie o.z. - dotácia na činnosť</t>
  </si>
  <si>
    <t>Skatepark</t>
  </si>
  <si>
    <t>Transfery nefinančným subjektom</t>
  </si>
  <si>
    <t>Polopodzemné kontajnery</t>
  </si>
  <si>
    <t>ŠJ HEES súkromné stravovacie zariadenie</t>
  </si>
  <si>
    <t>Sprostredkovateľsky orgán pre IROP</t>
  </si>
  <si>
    <t>Statická doprava Bavlnárska ul.</t>
  </si>
  <si>
    <t>Statická doprava ul. Veľkomoravská</t>
  </si>
  <si>
    <t>Evidencia obyvateľstva</t>
  </si>
  <si>
    <t>Matrika</t>
  </si>
  <si>
    <t>Predškolský vek</t>
  </si>
  <si>
    <t>Školstvo - prenesené kompetencie</t>
  </si>
  <si>
    <t>Rekonštrukcia plynovej kotolne na krytej plavárni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</si>
  <si>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</si>
  <si>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</si>
  <si>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</si>
  <si>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</si>
  <si>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</si>
  <si>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</si>
  <si>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</si>
  <si>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</si>
  <si>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ŠJ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</si>
  <si>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</si>
  <si>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</si>
  <si>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</si>
  <si>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</si>
  <si>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Prieskumné sondy pred realizáciou mestských komunikácií</t>
  </si>
  <si>
    <t>Priechod pre chodcov Ul.Dolné Pažite (podsvietený,nadsvietený)</t>
  </si>
  <si>
    <t>Cyklotrasa Juh-centrum - III.etapa (cintorín - kruhový objazd pod Juhom)</t>
  </si>
  <si>
    <t>Revitalizácia vnútrobloku Západná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</si>
  <si>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</si>
  <si>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</si>
  <si>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</si>
  <si>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</si>
  <si>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</si>
  <si>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</si>
  <si>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</si>
  <si>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</si>
  <si>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</si>
  <si>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</si>
  <si>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</si>
  <si>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</si>
  <si>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</si>
  <si>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</si>
  <si>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</si>
  <si>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</si>
  <si>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</si>
  <si>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</si>
  <si>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</si>
  <si>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stravovanie</t>
  </si>
  <si>
    <t>Za predaj výrobkov, tovarov a služieb - zaopatrenie</t>
  </si>
  <si>
    <t>Zariadenie opatrovateľske služby - 24 hod starostlivosť</t>
  </si>
  <si>
    <t>Celoročný pobyt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</si>
  <si>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</si>
  <si>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</si>
  <si>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</si>
  <si>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</si>
  <si>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</si>
  <si>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</si>
  <si>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Z predaja kapitálových aktív</t>
  </si>
  <si>
    <t>Súťaže zo ŠR</t>
  </si>
  <si>
    <t>Projekt Budovanie odborných kapacít na komunitnej úrovní na Nízkoprahové centrum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</si>
  <si>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</si>
  <si>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</si>
  <si>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</si>
  <si>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</si>
  <si>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</si>
  <si>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</si>
  <si>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</si>
  <si>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</si>
  <si>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</si>
  <si>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</si>
  <si>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Služby (KIS)</t>
  </si>
  <si>
    <t>Zabezpečenie činnosti KIC</t>
  </si>
  <si>
    <t>Gratový program</t>
  </si>
  <si>
    <t>Realizácia stavieb a ich technickéhoo zhodnotenia</t>
  </si>
  <si>
    <t>Prípojka elektrickej energie</t>
  </si>
  <si>
    <t>Príjmy</t>
  </si>
  <si>
    <t>Výdavky</t>
  </si>
  <si>
    <t>513: Prijatie dlhodobého úveru</t>
  </si>
  <si>
    <t>821: Splácanie istiny z dlhodobých bankových úverov</t>
  </si>
  <si>
    <t>821: ŠFRB - splácanie istiny</t>
  </si>
  <si>
    <t>Tovary a služby (KP)</t>
  </si>
  <si>
    <t>Tovary a služby (INFO)</t>
  </si>
  <si>
    <t>Výmena okien</t>
  </si>
  <si>
    <t>Cyklotrasy</t>
  </si>
  <si>
    <t>Nové parkovacie miesta</t>
  </si>
  <si>
    <t>Rezerva na financovanie neštatnych školských zariadení</t>
  </si>
  <si>
    <t>TJ Družstevník Opatová - dotácia na činnosť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</si>
  <si>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</si>
  <si>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</si>
  <si>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</si>
  <si>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</si>
  <si>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</si>
  <si>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</si>
  <si>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</si>
  <si>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</si>
  <si>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</si>
  <si>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</si>
  <si>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</si>
  <si>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</si>
  <si>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</si>
  <si>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</si>
  <si>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</si>
  <si>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</si>
  <si>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</si>
  <si>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</si>
  <si>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 MŠ M.Turkovej 22</t>
  </si>
  <si>
    <t>S MŠ Janka Kráľa 14</t>
  </si>
  <si>
    <t>S MŠ Motýlik</t>
  </si>
  <si>
    <t>S MŠ Best Friends Kids Club</t>
  </si>
  <si>
    <t>C MŠ Bl.Tarzícia</t>
  </si>
  <si>
    <t>C MŠ sv. Andreja - Svorada a Benedikta</t>
  </si>
  <si>
    <t>S MŠ 2M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</si>
  <si>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</si>
  <si>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</si>
  <si>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</si>
  <si>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</si>
  <si>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</si>
  <si>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</si>
  <si>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</si>
  <si>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</si>
  <si>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</si>
  <si>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</si>
  <si>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</si>
  <si>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Priechod pre chodcov - konečná Armádna - Sibírska</t>
  </si>
  <si>
    <t>Rekonštrukcia strechy</t>
  </si>
  <si>
    <t>Revitalizácia priestoru pri KS v Záblatí</t>
  </si>
  <si>
    <t>Európske hlavné mesto kultúry 2026</t>
  </si>
  <si>
    <t>Revitalizácia ul. 1.mája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</si>
  <si>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</si>
  <si>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</si>
  <si>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</si>
  <si>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</si>
  <si>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</si>
  <si>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Riešenie parkovania v lokalite 28.októbra pri materskej škole a jasliach</t>
  </si>
  <si>
    <t>Nové triedy</t>
  </si>
  <si>
    <t>Hviezdodvor</t>
  </si>
  <si>
    <t>PROGRAM   8: ŠPORT A ODDYCH</t>
  </si>
  <si>
    <t>Program   8: ŠPORT A ODDYCH</t>
  </si>
  <si>
    <t>Program   7: VZDELÁVANIE</t>
  </si>
  <si>
    <t>Program   5: BEZPEČNOSŤ</t>
  </si>
  <si>
    <t>Evakuačný výťah</t>
  </si>
  <si>
    <t>Sociálny šatník</t>
  </si>
  <si>
    <t>Monitorovanie a signalizácia potreby pomoci</t>
  </si>
  <si>
    <t>Z činnosti CKKP Hviezda</t>
  </si>
  <si>
    <t>0721</t>
  </si>
  <si>
    <t>R O Z P O Č E T    2024</t>
  </si>
  <si>
    <t>Integrovaný dopravný systém</t>
  </si>
  <si>
    <t>Revitalizácia alúvia Orechovského potoka vrátane jeho sprístupnenia lávkou</t>
  </si>
  <si>
    <t>Dobudovanie kampusu CKKP Hviezda (Hviezdodvor) - Štúdio a námestíčko</t>
  </si>
  <si>
    <t>Revitalizácia Námestia sv. Anny</t>
  </si>
  <si>
    <t>514: 2 úvery z Environmentálneho fondu na verejné osvetlenia</t>
  </si>
  <si>
    <t>Budova MHSL m.r.o. - fotovoltika</t>
  </si>
  <si>
    <t>KS Istebník - rozšírenie materskej školy, MsP, klubu dôchodcov</t>
  </si>
  <si>
    <t>Okná</t>
  </si>
  <si>
    <t>Verejné osvetlenie Východná</t>
  </si>
  <si>
    <t>Verejné osvetlenie - rekonštrukcia</t>
  </si>
  <si>
    <t>Chodník + ostrovček na Kamenci (Vinohrady)</t>
  </si>
  <si>
    <t>Križovatka pod Juhom s napojením na nový most</t>
  </si>
  <si>
    <t>Nábrežná ulica</t>
  </si>
  <si>
    <t>Priechod pre chodcov - Legionárska CSS</t>
  </si>
  <si>
    <t>Priechod pre chodcov - Gymnázium CSS</t>
  </si>
  <si>
    <t>Priechod pre chodcov - Zimný štadión CSS</t>
  </si>
  <si>
    <t>Priechod pre chodcov - Zlatovská CSS</t>
  </si>
  <si>
    <t>Saratovská - Partizánska - prepojenie</t>
  </si>
  <si>
    <t>Ul. 28. októbra</t>
  </si>
  <si>
    <t>Fotovoltika</t>
  </si>
  <si>
    <t>Zimný štadión - fotovoltika</t>
  </si>
  <si>
    <t>Revitalizácia nám. Sv. Anny</t>
  </si>
  <si>
    <t>Revitalizácia alúvia Orechovského potoka vrátane jeho sprístupnenia lávkou z Vážskej hrádze</t>
  </si>
  <si>
    <t>Oporný múr Cintorínska ul. - 1.etapa</t>
  </si>
  <si>
    <t>Z prenájmov - Hviezda</t>
  </si>
  <si>
    <t>Za predaj výrobkov, tovarov a služieb - upratovanie, pranie, žehlenie</t>
  </si>
  <si>
    <t>Prevádzkové zariadenia KKC Hviezda</t>
  </si>
  <si>
    <t>Detašované pracoviská Denného centra Sihoť</t>
  </si>
  <si>
    <t>Rekonštrukcia nájomného bytu</t>
  </si>
  <si>
    <t>Služby (plavecký výcvik)</t>
  </si>
  <si>
    <t>Signalizácia ZPS</t>
  </si>
  <si>
    <t>Reflektomer</t>
  </si>
  <si>
    <t>Refundácia výdavkov z metodického poradenského centra</t>
  </si>
  <si>
    <t>Splácanie úrokov a ostatné platby súvisiace s úverom</t>
  </si>
  <si>
    <t>Z termínovaných vkladov</t>
  </si>
  <si>
    <t>Lávka pre peších cez Lavičkový potok</t>
  </si>
  <si>
    <t>Priechod pri Merkury markete</t>
  </si>
  <si>
    <t>Revitalizácia Parku Gen. M.R.Štefánika</t>
  </si>
  <si>
    <t>Trenčiansky luh - revitalizácia Rekreačno - vzdelávacej zóny</t>
  </si>
  <si>
    <t>GRAPE AGENCY s.r.o. - Grape Festival 2023</t>
  </si>
  <si>
    <t xml:space="preserve">Park Zlatovce   </t>
  </si>
  <si>
    <t>Rekonštrukcia múru mestského opevnenia</t>
  </si>
  <si>
    <t>Schodok kapitálového rozpočtu</t>
  </si>
  <si>
    <t>Projekt Mobilities</t>
  </si>
  <si>
    <t>Projektové dokumentácie na komunikácie, chodníky, pozemné stavby</t>
  </si>
  <si>
    <t>Pontóny na Váhu</t>
  </si>
  <si>
    <t>Dopravné značenie</t>
  </si>
  <si>
    <t>Dotácie na výnimočné akcie (projekty)</t>
  </si>
  <si>
    <t>Dotácie na šport (činnosť)</t>
  </si>
  <si>
    <t>Župný dom - posudky, výskum, dokumentácia</t>
  </si>
  <si>
    <t>Nový server</t>
  </si>
  <si>
    <t>Inštitút participácie</t>
  </si>
  <si>
    <t>Manuál verejného priestranstva</t>
  </si>
  <si>
    <t>S MŠ Štvorlístok, Orechovská 14</t>
  </si>
  <si>
    <t>Regenerácia vnútrobloku Opávia na Beckovskej ulici</t>
  </si>
  <si>
    <t>Výmena asfaltového povrchu a úprava kruhového objazdu Zlatovská – Brnianska</t>
  </si>
  <si>
    <t>S MŠ Legionárska 79</t>
  </si>
  <si>
    <t>Župný dom - 1.etapa rekonštrukcie</t>
  </si>
  <si>
    <t>ZŠ Dlhé Hony - jedáleň, kuchyňa, bežecký ovál, volejbalové ihrisko</t>
  </si>
  <si>
    <t>513: Prijatie dlhodobého úveru - ČSOB a.s. 2023</t>
  </si>
  <si>
    <t>Župný dom - I.etapa rekonštrukcie</t>
  </si>
  <si>
    <t>Rekonštrukcia - jedáleň, kuchyňa, bežecký ovál, volejbalové ihrisko</t>
  </si>
  <si>
    <t>Dobudovani kampusu - štúdio a námestíčko</t>
  </si>
  <si>
    <t>Z predaja bytov</t>
  </si>
  <si>
    <t>Regenerácia vnútrobloku Opávia na Beckovskej ulici v Trenčíne</t>
  </si>
  <si>
    <t>Revitalizácia ulice 1.mája</t>
  </si>
  <si>
    <t>Interiéry Zelený most - ulica (Fiesta)</t>
  </si>
  <si>
    <t>Komunitné centrum Dlhé Hony</t>
  </si>
  <si>
    <t>Komunitné centrum Dlhé Hony - PD Interiér</t>
  </si>
  <si>
    <t>Komunitné centrum Dlhé Hony - vybavenie</t>
  </si>
  <si>
    <t>Zelený most - ulica (Fiesta)</t>
  </si>
  <si>
    <t>Komunitné centrum Dlhé Hony - PD interiér</t>
  </si>
  <si>
    <t>Revitalizácia Hviezdoslavovej ulice</t>
  </si>
  <si>
    <t xml:space="preserve">Revitalizácia parku Gen. M.R.Štefánika </t>
  </si>
  <si>
    <t xml:space="preserve">Zníženie en.náročnosti budovy Detských jaslí na ulici 28.októbra </t>
  </si>
  <si>
    <t xml:space="preserve">Zníženie energetickej náročnosti budovy Detských jaslí na ulici 28.októbra </t>
  </si>
  <si>
    <t xml:space="preserve">Revitalizácia parku gen. M.R.Štefánika </t>
  </si>
  <si>
    <t>Kolomaž o.z. - Klub Lúč</t>
  </si>
  <si>
    <t>Klub priateľov vážnej hudby - Hudba pod Hradom - jar, jeseň</t>
  </si>
  <si>
    <t>ZO SZV Trenčín - Včelárska nedeľa v priestoroch KS Zlatovce</t>
  </si>
  <si>
    <t>Materské centrum srdiečko - dotácia na prevádzku</t>
  </si>
  <si>
    <t>Modernizácia a rozšírenie počítačovej siete</t>
  </si>
  <si>
    <t>Verejné WC - rekonštrukcia interiéru</t>
  </si>
  <si>
    <t>Parkovisko Družba - rampový systém</t>
  </si>
  <si>
    <t>Úprava križovatky pri kostole Opatová - MHD</t>
  </si>
  <si>
    <t>Klavír</t>
  </si>
  <si>
    <t>Klimatizácia Mestská veža</t>
  </si>
  <si>
    <t>Klimatizácie</t>
  </si>
  <si>
    <t>Motorové vozidlo na prepravnú službu</t>
  </si>
  <si>
    <t>453: Prevod z rezervného fondu - nevyčerpané prostriedky z minulých rokov</t>
  </si>
  <si>
    <t xml:space="preserve">454: Prevod z rezervného fondu - Most Horné Orechové </t>
  </si>
  <si>
    <t>PROGRAM   1: MANAŽMENT A PLÁNOVANIE</t>
  </si>
  <si>
    <t>Modernizácia elektrickej požiarnej signalizácie</t>
  </si>
  <si>
    <t>Župný dom - PD rekonštrukcia elektroinštalácie, bleskozvodu a EPS</t>
  </si>
  <si>
    <t>Rekonštrukcia chodníka Považská - Žilinská ul.</t>
  </si>
  <si>
    <t>Kreatívny inštitút Trenčín, n.o. - príspevok na správu  a programového aktivity</t>
  </si>
  <si>
    <t xml:space="preserve">KS Dlhé Hony  </t>
  </si>
  <si>
    <t>Rekonštrukcia gumeného povrchu ihriska Žihadielko v parku pod Juhom</t>
  </si>
  <si>
    <t>Most Orechové</t>
  </si>
  <si>
    <t>Schodok/prebytok rozpočtu spolu</t>
  </si>
  <si>
    <t>Dopravno - overovacia štúdia priestorového usporiadania jestvujúcej komunikácie v časti Nozdrkove</t>
  </si>
  <si>
    <t>Nový chodník z ul. Gen. Svobodu na ul. Halalovka</t>
  </si>
  <si>
    <t>Nový priechod pre chodcov M.Bela</t>
  </si>
  <si>
    <t>Nové prepojenie Južná ulica a Halalovka</t>
  </si>
  <si>
    <t>Chodník Halalovka</t>
  </si>
  <si>
    <t>Chodník M.Bela 42-55</t>
  </si>
  <si>
    <t>MŠ Novomeského (Halašu)</t>
  </si>
  <si>
    <t>Rekonštrukcia vonkajších spevnených plôch</t>
  </si>
  <si>
    <t>Rekonštrukcia spevnených plôch v areáli školy</t>
  </si>
  <si>
    <t>Rekonštrukcia terás</t>
  </si>
  <si>
    <t>Revitalizácia ihriska a areálu KC Aktivity</t>
  </si>
  <si>
    <t>MČ Juh - mobiliár</t>
  </si>
  <si>
    <t>Rekonštrukcia terasy materskej školy</t>
  </si>
  <si>
    <t>Rekonštrukcia chodníkov a schodísk na cintoríne Juh</t>
  </si>
  <si>
    <t>MČ Stred - chodníky</t>
  </si>
  <si>
    <t>Chodník a parkovisko ul. Inovecká 1137</t>
  </si>
  <si>
    <t>Ul. Partizánska - horná</t>
  </si>
  <si>
    <t>Výmena svetlíkov</t>
  </si>
  <si>
    <t>Vyvýšený priechod</t>
  </si>
  <si>
    <t>Nákup pozemkov pre Opatovský cintorín</t>
  </si>
  <si>
    <t>Odvodnenie pri cintoríne Opatová</t>
  </si>
  <si>
    <t>Chodník ul. Opatovská pri materskej škole</t>
  </si>
  <si>
    <t>Rekonštrukcia chodníka ku stojiskám na Hurbanovej ulici</t>
  </si>
  <si>
    <t>Rekonštrukcia ul. Gen. Goliana</t>
  </si>
  <si>
    <t>Kukučínova ul. - dolná</t>
  </si>
  <si>
    <t>Rozšírenie priestoru na poschodí</t>
  </si>
  <si>
    <t>Vnútroblok Nábrežná a Študentská</t>
  </si>
  <si>
    <t>Cyklotrasa ul. Stárka po Brniansku - osvetlenie</t>
  </si>
  <si>
    <t>Osvetlenie spojovacieho chodníka ul. Školská a Bavlnárska</t>
  </si>
  <si>
    <t>Autobusové prístrešky Hanzlíkovská</t>
  </si>
  <si>
    <t>Parkovacie miesta ul. Orechovská od kostola po križovaku s Chotárnou</t>
  </si>
  <si>
    <t>Chodníky Hanzlíkovská  - Poľovnícka - Na dolinách</t>
  </si>
  <si>
    <t>Rekonštrukcia stupačiek</t>
  </si>
  <si>
    <t>Obnova základnej školy</t>
  </si>
  <si>
    <t>Revitalizácia vnútrobloku sídlisko Kvetná</t>
  </si>
  <si>
    <t>Nové stojiská polopodzemných kontajnerov ul. Veľkomoravská za Úspechom</t>
  </si>
  <si>
    <t>Grantový program - dofinancovanie nedočerpanej dotácie z roku 2023</t>
  </si>
  <si>
    <t>Schodolez</t>
  </si>
  <si>
    <t>Prístupové chodníky ku vchodom na Kvetnej</t>
  </si>
  <si>
    <t xml:space="preserve">Chodníky na starom cestnom moste </t>
  </si>
  <si>
    <t>Rekonštrukcia prístupovej cesty</t>
  </si>
  <si>
    <t>Výmena palubovej podlahy a mobilných tribún</t>
  </si>
  <si>
    <t>Detské ihrisko Hríbik</t>
  </si>
  <si>
    <t>454: Prevod z rezervného fondu - Výmena palubovej podlahy a mobilných tribún v športovej hale</t>
  </si>
  <si>
    <t>Dávkovacia stanica do bazéna</t>
  </si>
  <si>
    <t>Projekt Budovanie mesta s prehľadným systémom investícií Hackathon</t>
  </si>
  <si>
    <t>Projekt Budovanie mesta s prehľadným systémom investícií - Hackathon</t>
  </si>
  <si>
    <t>Vlajkosláva na Brezine</t>
  </si>
  <si>
    <t>Skener</t>
  </si>
  <si>
    <t>Statický posudok 2 mostných objektov na ul. Gen.Svobodu v Trenčíne</t>
  </si>
  <si>
    <t xml:space="preserve">Príspevok za ubytovanie odídencov z Ukrajiny </t>
  </si>
  <si>
    <t>Príspevok za ubytovanie odídencov z Ukrajiny</t>
  </si>
  <si>
    <t>Kreatívny inštitút Trenčín, n.o. - príspevok na kapitálové výdavky</t>
  </si>
  <si>
    <t>Zahraničné granty</t>
  </si>
  <si>
    <t>Od zahraničného subjektu iného ako medzinárodná organizácia</t>
  </si>
  <si>
    <t>Finančné prostriedky z Finančného mechanizmu EHP a Nórskeho finančného mechanizmu</t>
  </si>
  <si>
    <t>Projekt z Finančného mechanizmu EHP (Európsky hospodársky priestor) a Nórskeho finančného mechanizmu</t>
  </si>
  <si>
    <t>Spevnená plocha Pumptrack</t>
  </si>
  <si>
    <t>Bezbariérová plošina do sociálneho taxíka</t>
  </si>
  <si>
    <t>Vrátenie nevyčerpanej dotácie z roku 2023</t>
  </si>
  <si>
    <t>Ostatné kapitálové výdavky</t>
  </si>
  <si>
    <t>Voľby prezidenta 2024</t>
  </si>
  <si>
    <t>Origos Group s.r.o. - Detská Tour Petra Sagana v Trenčíne</t>
  </si>
  <si>
    <t>Ihrisko a objekt zázemia v Parku Gen.M.R.Štefánika</t>
  </si>
  <si>
    <t>Projektová dokumentácia - Zimný štadión</t>
  </si>
  <si>
    <t>Zábradlie na prístupovom chodníku Opatovská ulica</t>
  </si>
  <si>
    <t>Grandvino, s.r.o. - 7.ročník festivalu Víno pod hradom</t>
  </si>
  <si>
    <t>SHUFFLEBEAR s.r.o. - Záhradkársky veľtrh Trenčín 2024/Záhradkár - Včelár - Ľudové umelecké remesla</t>
  </si>
  <si>
    <t>Projekt Ostrov - Gympelrock</t>
  </si>
  <si>
    <t>Za stravné v detských jasliach</t>
  </si>
  <si>
    <t>Automatický bazénový vysávač</t>
  </si>
  <si>
    <t>Projekt Making City</t>
  </si>
  <si>
    <t>Dobrovoľná požiarna ochrana</t>
  </si>
  <si>
    <t>AS Trenčín a.s. - dotácia na činnosť</t>
  </si>
  <si>
    <t>HK Dukla Trenčín n.o. - dotácia na činnosť</t>
  </si>
  <si>
    <t>Basketbalový klub AS Trenčín - dotácia na činnosť</t>
  </si>
  <si>
    <t>Hádzanársky klub AS Trenčín - dotácia na činnosť</t>
  </si>
  <si>
    <t>Športový klub 1.FBC Trenčín o.z. - dotácia na činnosť</t>
  </si>
  <si>
    <r>
      <rPr>
        <b/>
        <i/>
        <sz val="12"/>
        <rFont val="Arial"/>
        <family val="2"/>
        <charset val="238"/>
      </rPr>
      <t>CKKP Hviezda</t>
    </r>
    <r>
      <rPr>
        <b/>
        <i/>
        <strike/>
        <sz val="12"/>
        <rFont val="Arial"/>
        <family val="2"/>
        <charset val="238"/>
      </rPr>
      <t xml:space="preserve"> </t>
    </r>
  </si>
  <si>
    <t>NFP PPA - Bezpečný a atraktívny lesopark Brezina pre všetkých</t>
  </si>
  <si>
    <t>NFP PPA - Bezpečný a aktraktívny lesopark Brezina pre všetkých</t>
  </si>
  <si>
    <t>LOOKA - projektová dokumentácia</t>
  </si>
  <si>
    <t>Úniky v priestore - projektová dokumentácia</t>
  </si>
  <si>
    <t>Parklet - realizácia na ul.Palackého</t>
  </si>
  <si>
    <t>Zo štátneho účelového fondu</t>
  </si>
  <si>
    <t>Príspevok z Environmentálneho fondu</t>
  </si>
  <si>
    <t>Centrum kultúrno-kreatívneho potenciálu Hviezda</t>
  </si>
  <si>
    <t>Podpora sociálnych služieb poskytovaných v zariadení na komunitnej báze v meste Trenčín</t>
  </si>
  <si>
    <t>Revitalizácia vnútrobloku Pádivec</t>
  </si>
  <si>
    <t>Revitalizácia verejného priestoru Považská</t>
  </si>
  <si>
    <t>Štúdio a námestíčko - technika</t>
  </si>
  <si>
    <t>Zvýšenie úrovne informačnej a kybernetickej bezpečnosti mesta Trenčín</t>
  </si>
  <si>
    <t>Ul. 1. mája - projektová dokumentácia</t>
  </si>
  <si>
    <t>Výmena okien v novšej budove MsÚ</t>
  </si>
  <si>
    <t>Klientské centrum - vyvolávací systém</t>
  </si>
  <si>
    <t>Klientské centrum - klimatizácia</t>
  </si>
  <si>
    <t>Nevyčerpaná dotácia z roku 2023</t>
  </si>
  <si>
    <t>Maják na auto</t>
  </si>
  <si>
    <t>Osobné motorové vozidlo</t>
  </si>
  <si>
    <t>Auto s plošinou</t>
  </si>
  <si>
    <t>Doplatok straty za rok 2023</t>
  </si>
  <si>
    <t>Nozdrkovce - cesta a chodníky</t>
  </si>
  <si>
    <t>2 zastávky na ul. M.Rázusa - rekonštrukcia</t>
  </si>
  <si>
    <t>Komunikácia Ľ.Stárka od starého mosta po Piešťanskú</t>
  </si>
  <si>
    <t>Mestská komunikácia J.Halašu - rekonštrukcia</t>
  </si>
  <si>
    <t>Sihoť I. - komunikácie a chodníky</t>
  </si>
  <si>
    <t>Nevyčerpané dotácie za rok 2023</t>
  </si>
  <si>
    <t>Vratky z NFP</t>
  </si>
  <si>
    <t>Rekonštrukcia elektroinštalácie</t>
  </si>
  <si>
    <t>Strecha</t>
  </si>
  <si>
    <t>Materiálno technické zabezpečenie 60.výročia vzniku ZŠ Bezručova</t>
  </si>
  <si>
    <t>Rekonštrukcia povrchu ihriska</t>
  </si>
  <si>
    <t>Rekonštrukcia tartanovej dráhy</t>
  </si>
  <si>
    <t>Rekonštrukcia schodov v budove školy Opatová</t>
  </si>
  <si>
    <t>Rekonštrukcia povrchu oválu</t>
  </si>
  <si>
    <t>Výstavba vonkajšieho altánka</t>
  </si>
  <si>
    <t>Vzduchotechnika</t>
  </si>
  <si>
    <t>Digestor</t>
  </si>
  <si>
    <t>Materiálno technické zabezpečenie futbalovej akadémie FUTBAL TTS Trenčín</t>
  </si>
  <si>
    <t>Nové osvetlenie a oplotenie futbalového štadióna Trenčín - Záblatie</t>
  </si>
  <si>
    <t>Dobudovani kampusu - štúdio a námestíčko - technika</t>
  </si>
  <si>
    <t>Stojiská polopodzemných kontajnerov</t>
  </si>
  <si>
    <t>Realizácia stojísk polopodzemných kontajnerov Sihoť, Stred</t>
  </si>
  <si>
    <t>Realizácia stojísk polopodzemných kontajnerov Juh</t>
  </si>
  <si>
    <t>Pamätník na Brezine - obnova hrobov</t>
  </si>
  <si>
    <t>Kúpeľňa pre imobilných</t>
  </si>
  <si>
    <t>Priemyselná práčka</t>
  </si>
  <si>
    <t>Rekonštrukcia výťahu</t>
  </si>
  <si>
    <t>Rekonštrukcia kúpeľní</t>
  </si>
  <si>
    <t>453: Prevod nevyčerpaných finančných prostriedkov z predchádzajúcich rokov</t>
  </si>
  <si>
    <t>453: Prevod finančných prostriedkov z podnikateľskej činnosti za rok 2023</t>
  </si>
  <si>
    <t>Otvor v nosnej stene ZUŠ - zväčšenie koncertnej sály</t>
  </si>
  <si>
    <t>Rímskokatolícka cirkev - Farnosť Trenčín - Orechové - dotácia na Primičnú slávnosť</t>
  </si>
  <si>
    <t>Ul. Puškinova - nový povrch cesty</t>
  </si>
  <si>
    <t>Brána s elektrickým ovládaním</t>
  </si>
  <si>
    <t xml:space="preserve">Slnečné námestie </t>
  </si>
  <si>
    <t>Riešenie križovatky ul. Partizánska pri židovskom cintoríne</t>
  </si>
  <si>
    <t xml:space="preserve"> Ul. Inovecká - výmena asfaltového povrchu na ihrisku</t>
  </si>
  <si>
    <t>Cyklotrasa Trenčín - Trenčianska Turná</t>
  </si>
  <si>
    <t>Ul.Soblahovská - komunikácia a parkovisko</t>
  </si>
  <si>
    <t>Obnova bočného vstupu na cintorín</t>
  </si>
  <si>
    <t xml:space="preserve">Rekonštrukcia povrchu chodníka na ul. Karpatská </t>
  </si>
  <si>
    <t>Chodník Hurbanova ulica</t>
  </si>
  <si>
    <t>Chodník Opatovská ulica k materskej škole</t>
  </si>
  <si>
    <t xml:space="preserve">Detské ihrisko Žilinská ulica </t>
  </si>
  <si>
    <t>Rekoštrukcia strechy požiarnej zbrojnice Záblatie</t>
  </si>
  <si>
    <t>AK Slávia Trenčín o.z. - dotácia na prípravu reprezentantov na MS U20 Peru, ME U17 B.Bystrica</t>
  </si>
  <si>
    <t>Rekonštrukcia fontány pri ZUŠ Trenčín - projektová dokumentácia</t>
  </si>
  <si>
    <t xml:space="preserve">Nový chodník Západná 11, rekonštrukcia prístupových chodníkov Západná 5,7,9 </t>
  </si>
  <si>
    <t>Telovýchovná jednota CEVA Trenčín - Majstrovstvá SR seniorov v bedmintone</t>
  </si>
  <si>
    <t>Komorný orchester Mesta Trenčín- dotácia na činnosť Komorného orchestra Mesta Trenčín na rok 2024</t>
  </si>
  <si>
    <t>Voľby do Európskeho parlamentu 2024</t>
  </si>
  <si>
    <t>Predĺženie osvetlenia na hrázdi</t>
  </si>
  <si>
    <t>Televízor</t>
  </si>
  <si>
    <t>Rekonštrukcia schodiska a prístupového chodníka Západná 5 a 9</t>
  </si>
  <si>
    <t>Futbalové bránky do športového areálu Trenčianskeho Futbalového Klubu Opatová</t>
  </si>
  <si>
    <t>Bezbariérová izba</t>
  </si>
  <si>
    <t>Mestské divadlo Trenčín o.z. - Letné divadelné večery</t>
  </si>
  <si>
    <t>Reštaurátorský výskum a návrh na reštaurovanie pilierov farských schodov</t>
  </si>
  <si>
    <t>Rekonštrukcia pilierov farských schodov nad úrovňou strechy</t>
  </si>
  <si>
    <t>Rímskokatolícka cirkev Farnosť Trenčín - dotácia na spevnené plochy nádvoria farského úradu</t>
  </si>
  <si>
    <t>Odkúpenie rolby</t>
  </si>
  <si>
    <t>Rekonštrukcia strechy na KS Istebník a časti MŠ Medňanského</t>
  </si>
  <si>
    <t xml:space="preserve">Herné prvky </t>
  </si>
  <si>
    <t xml:space="preserve">Rekonštrukcia prípojky kanalizácie </t>
  </si>
  <si>
    <t>Nadácia SPP - finančný príspevok na projekt "Zeleň, na ktorej mi záleží"</t>
  </si>
  <si>
    <t>Florbalový klub AS Trenčín -dotácia na činnosť</t>
  </si>
  <si>
    <t>IPčko, občianske združenie - dotácia na prevádzku v roku 2024</t>
  </si>
  <si>
    <t>Ochrana prostredia pre život</t>
  </si>
  <si>
    <t>Nákup statívov</t>
  </si>
  <si>
    <t>Výmena interiérového osvetlenia Mestský úrad</t>
  </si>
  <si>
    <t>Výmena interiérového osvetlenia MHSL</t>
  </si>
  <si>
    <t>Výmena termoregulačných ventilov a hlavíc MHSL</t>
  </si>
  <si>
    <t>Dotácia na rýchle energetické opatrenia v budove Mestského úradu a v budove MHSL, m.r.o.</t>
  </si>
  <si>
    <t>COOLTÚRNE - projekt "Priestor"</t>
  </si>
  <si>
    <t>Chodník Nám.sv.Anny</t>
  </si>
  <si>
    <t>Rekonštrukcia kancelárií MHSL m.r.o.</t>
  </si>
  <si>
    <t>CSS ul. Súdna - rekonštrukcia radiča</t>
  </si>
  <si>
    <t>Erazmus</t>
  </si>
  <si>
    <t>Erazmus, prax žiakov</t>
  </si>
  <si>
    <t>Umývací stroj</t>
  </si>
  <si>
    <t>Park v prírode alúvia Orechovského potoka</t>
  </si>
  <si>
    <t>MK Kvetinová</t>
  </si>
  <si>
    <t>MK Gen.Viesta</t>
  </si>
  <si>
    <t>Parkovací automat</t>
  </si>
  <si>
    <t>Svetelné tabule na koše pre basketbal</t>
  </si>
  <si>
    <t>Výmena asfaltového povchu na ihrisku Klementisova, Kraskova</t>
  </si>
  <si>
    <t>Interiérové doskočisko</t>
  </si>
  <si>
    <t>Varný kotol</t>
  </si>
  <si>
    <t>Projektový zámer Centra pre ekologické spracovanie odpadov Trenčín</t>
  </si>
  <si>
    <t>814: Účasť na majetku</t>
  </si>
  <si>
    <t xml:space="preserve">PTZ kamery </t>
  </si>
  <si>
    <t>3D tlačiarne</t>
  </si>
  <si>
    <t>Dotácia z MV SR na opravu kamenných častí Pamätníka umučených z II.svetovej vojny na Brezine</t>
  </si>
  <si>
    <t>Oprava kamenných častí Pamätníka umučených z II.svetovej vojny na Brezine</t>
  </si>
  <si>
    <t>Zníženie en.náročnosti objektu zariadenia pre seniorov na Lavičkovej ulici</t>
  </si>
  <si>
    <t xml:space="preserve">Kotol </t>
  </si>
  <si>
    <t>Výstavba vonkajšieho altánku - Vratka do ŠR</t>
  </si>
  <si>
    <t>Nová koncepcia MHD</t>
  </si>
  <si>
    <t>Chladiaca skriňa mäsová</t>
  </si>
  <si>
    <t>Konvektomat</t>
  </si>
  <si>
    <t>Elektrický kotol</t>
  </si>
  <si>
    <t>Plynový sporák</t>
  </si>
  <si>
    <t>Varný plynový kotol</t>
  </si>
  <si>
    <t>Elektronická vývesná tabuľa</t>
  </si>
  <si>
    <t>Rekonštrukcia strechy športovej haly</t>
  </si>
  <si>
    <t>Nové dvere na Dome smútku Juh</t>
  </si>
  <si>
    <t>Rekonštrukcia lapačov lôpt na futbalovom štadióne Záblatie</t>
  </si>
  <si>
    <t>Rekonštrukcia schodiska a stojiska pre kontajnery</t>
  </si>
  <si>
    <t>AS Trenčín a.s. - realizácia filmu "120 rokov futbalu v Trenčíne"</t>
  </si>
  <si>
    <t>JUŽANIA - RC Južanček o.z. - dotácia na Rakúske Vianoce</t>
  </si>
  <si>
    <t>Hmotná núdza</t>
  </si>
  <si>
    <t>Dotácia na krytie výdavkov súvisiacich s výpadkom dane z príjmov fyzických osôb v roku 2024</t>
  </si>
  <si>
    <t>Digestor a fritéza</t>
  </si>
  <si>
    <t>Ohrevný vozík</t>
  </si>
  <si>
    <t>Kontaktné nástrojové mikrofóny</t>
  </si>
  <si>
    <t>materiál</t>
  </si>
  <si>
    <t>Plnenie Programového rozpočtu Mesta Trenčín k 31.12.2024</t>
  </si>
  <si>
    <t>Bežné príjmy</t>
  </si>
  <si>
    <t>% plnenia</t>
  </si>
  <si>
    <t>Plnenie rozpočtu k 31.12.2024</t>
  </si>
  <si>
    <t>Upravený rozpočet na rok 2024</t>
  </si>
  <si>
    <t>Rozpočet na rok 2024</t>
  </si>
  <si>
    <t>Bežný rozpočet na rok 2024</t>
  </si>
  <si>
    <t>Kapitálový rozpočet na rok 2024</t>
  </si>
  <si>
    <t>Plnenie bežného rozpočtu k 31.12.2024</t>
  </si>
  <si>
    <t>Plnenie kapitálového rozpočtu k 31.12.2024</t>
  </si>
  <si>
    <t>SUMARIZÁCIA</t>
  </si>
  <si>
    <t>Plnenie rozpočtu spolu k 31.12.2024</t>
  </si>
  <si>
    <t>Poplatok za rozvoj</t>
  </si>
  <si>
    <t>SPAK-EKO a.s. - Spoločná aktivita proti environmentálnemu znečisťovaniu ohorkami</t>
  </si>
  <si>
    <t>Dotácia z MV SR na obnovu kultúrnej pamiatky - Cintorín vojnový a kaplnka pohrebná</t>
  </si>
  <si>
    <t>VPP</t>
  </si>
  <si>
    <t>CKKP Hviezda</t>
  </si>
  <si>
    <t>Podpora integrácie žiakov z Ukrajiny</t>
  </si>
  <si>
    <t>Pedagogický asistent</t>
  </si>
  <si>
    <t>Zvýšenie mestskej mobility budovaním siete cyklistickej infraštruktúry v TN: Cyklotrasa Brnianska ul. 1.etapa</t>
  </si>
  <si>
    <t>Za prebytočný hnuteľný majetok</t>
  </si>
  <si>
    <t>Nadácia EPH (Energetický a priemyselný holding) - finančný príspevok na výsadbu cibuľovín a dodávky kvetov</t>
  </si>
  <si>
    <t>Strava pre deti - obedy zadarmo</t>
  </si>
  <si>
    <t xml:space="preserve">Fond na podporu športu - Výmena palubovej podlahy a mobilných tribún </t>
  </si>
  <si>
    <t>Správa Školských zariadení mesta Trenčín, m.r.o.</t>
  </si>
  <si>
    <t>ELITE GYM Trenčín - Elite Fighting League</t>
  </si>
  <si>
    <t>Adient Slovakia s.r.o. - peňažný dar</t>
  </si>
  <si>
    <t>Upravený bežný rozpočet 2024</t>
  </si>
  <si>
    <t>Schválený bežný rozpočet 2024</t>
  </si>
  <si>
    <t>Schválený kapitálový rozpočet 2024</t>
  </si>
  <si>
    <t>Upravený kapitálový rozpočet 2024</t>
  </si>
  <si>
    <t>Upravený rozpočet 2024 spolu</t>
  </si>
  <si>
    <t>Schválený rozpočet 2024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</si>
</sst>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"/>
    <numFmt numFmtId="166" formatCode="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color indexed="9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20"/>
      <name val="Trebuchet MS"/>
      <family val="2"/>
      <charset val="238"/>
    </font>
    <font>
      <b/>
      <sz val="8"/>
      <name val="Trebuchet MS"/>
      <family val="2"/>
      <charset val="238"/>
    </font>
    <font>
      <sz val="8"/>
      <name val="Arial CE"/>
      <charset val="238"/>
    </font>
    <font>
      <sz val="8"/>
      <name val="Trebuchet MS"/>
      <family val="2"/>
      <charset val="238"/>
    </font>
    <font>
      <sz val="6"/>
      <name val="Trebuchet MS"/>
      <family val="2"/>
      <charset val="238"/>
    </font>
    <font>
      <b/>
      <i/>
      <sz val="9"/>
      <name val="Trebuchet MS"/>
      <family val="2"/>
      <charset val="238"/>
    </font>
    <font>
      <b/>
      <sz val="10"/>
      <name val="Times New Roman"/>
      <family val="1"/>
      <charset val="238"/>
    </font>
    <font>
      <i/>
      <sz val="8"/>
      <name val="Trebuchet MS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F0"/>
        <bgColor indexed="64"/>
      </patternFill>
    </fill>
  </fills>
  <borders count="130">
    <border>
      <left/>
      <right/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91454817346722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3" tint="0.399914548173467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hair">
        <color theme="3" tint="0.39994506668294322"/>
      </right>
      <top style="thin">
        <color theme="3" tint="0.39994506668294322"/>
      </top>
      <bottom/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/>
      <diagonal/>
    </border>
    <border>
      <left style="hair">
        <color theme="3" tint="0.39994506668294322"/>
      </left>
      <right/>
      <top style="thin">
        <color theme="3" tint="0.39994506668294322"/>
      </top>
      <bottom/>
      <diagonal/>
    </border>
    <border>
      <left style="hair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/>
      <top/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/>
      <diagonal/>
    </border>
    <border>
      <left style="hair">
        <color theme="3" tint="0.39994506668294322"/>
      </left>
      <right/>
      <top/>
      <bottom/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thin">
        <color theme="3" tint="0.39991454817346722"/>
      </left>
      <right style="hair">
        <color theme="3" tint="0.39994506668294322"/>
      </right>
      <top/>
      <bottom style="hair">
        <color theme="3" tint="0.39991454817346722"/>
      </bottom>
      <diagonal/>
    </border>
    <border>
      <left style="thin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/>
      <right/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14548173467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 style="thin">
        <color theme="3" tint="0.39994506668294322"/>
      </right>
      <top/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/>
      <right style="thin">
        <color theme="3" tint="0.39994506668294322"/>
      </right>
      <top/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4506668294322"/>
      </left>
      <right style="thin">
        <color theme="3" tint="0.39994506668294322"/>
      </right>
      <top/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88402966399123"/>
      </top>
      <bottom style="hair">
        <color theme="3" tint="0.39994506668294322"/>
      </bottom>
      <diagonal/>
    </border>
    <border>
      <left style="hair">
        <color theme="3" tint="0.399914548173467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/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1454817346722"/>
      </bottom>
      <diagonal/>
    </border>
    <border>
      <left/>
      <right/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568">
    <xf numFmtId="0" fontId="0" fillId="0" borderId="0" xfId="0"/>
    <xf numFmtId="0" fontId="2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3" fontId="6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3" fontId="9" fillId="0" borderId="5" xfId="0" applyNumberFormat="1" applyFont="1" applyBorder="1"/>
    <xf numFmtId="3" fontId="8" fillId="0" borderId="5" xfId="0" applyNumberFormat="1" applyFont="1" applyBorder="1"/>
    <xf numFmtId="0" fontId="1" fillId="0" borderId="0" xfId="0" applyFont="1" applyAlignment="1">
      <alignment horizontal="center"/>
    </xf>
    <xf numFmtId="3" fontId="2" fillId="10" borderId="0" xfId="0" applyNumberFormat="1" applyFont="1" applyFill="1"/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13" fillId="7" borderId="2" xfId="0" applyFont="1" applyFill="1" applyBorder="1"/>
    <xf numFmtId="3" fontId="13" fillId="7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3" fontId="14" fillId="8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9" borderId="4" xfId="0" applyFont="1" applyFill="1" applyBorder="1"/>
    <xf numFmtId="3" fontId="5" fillId="9" borderId="4" xfId="0" applyNumberFormat="1" applyFont="1" applyFill="1" applyBorder="1"/>
    <xf numFmtId="0" fontId="5" fillId="9" borderId="5" xfId="0" applyFont="1" applyFill="1" applyBorder="1"/>
    <xf numFmtId="3" fontId="5" fillId="9" borderId="5" xfId="0" applyNumberFormat="1" applyFont="1" applyFill="1" applyBorder="1"/>
    <xf numFmtId="0" fontId="7" fillId="0" borderId="6" xfId="0" applyFont="1" applyBorder="1"/>
    <xf numFmtId="3" fontId="7" fillId="0" borderId="6" xfId="0" applyNumberFormat="1" applyFont="1" applyBorder="1"/>
    <xf numFmtId="0" fontId="7" fillId="0" borderId="7" xfId="0" applyFont="1" applyBorder="1"/>
    <xf numFmtId="3" fontId="7" fillId="0" borderId="7" xfId="0" applyNumberFormat="1" applyFont="1" applyBorder="1"/>
    <xf numFmtId="0" fontId="13" fillId="7" borderId="8" xfId="0" applyFont="1" applyFill="1" applyBorder="1"/>
    <xf numFmtId="3" fontId="13" fillId="7" borderId="8" xfId="0" applyNumberFormat="1" applyFont="1" applyFill="1" applyBorder="1"/>
    <xf numFmtId="0" fontId="14" fillId="8" borderId="9" xfId="0" applyFont="1" applyFill="1" applyBorder="1"/>
    <xf numFmtId="3" fontId="14" fillId="8" borderId="9" xfId="0" applyNumberFormat="1" applyFont="1" applyFill="1" applyBorder="1"/>
    <xf numFmtId="0" fontId="5" fillId="9" borderId="10" xfId="0" applyFont="1" applyFill="1" applyBorder="1"/>
    <xf numFmtId="3" fontId="5" fillId="9" borderId="10" xfId="0" applyNumberFormat="1" applyFont="1" applyFill="1" applyBorder="1"/>
    <xf numFmtId="0" fontId="5" fillId="9" borderId="7" xfId="0" applyFont="1" applyFill="1" applyBorder="1"/>
    <xf numFmtId="3" fontId="5" fillId="9" borderId="7" xfId="0" applyNumberFormat="1" applyFont="1" applyFill="1" applyBorder="1"/>
    <xf numFmtId="0" fontId="7" fillId="0" borderId="8" xfId="0" applyFont="1" applyBorder="1"/>
    <xf numFmtId="3" fontId="7" fillId="0" borderId="8" xfId="0" applyNumberFormat="1" applyFont="1" applyBorder="1"/>
    <xf numFmtId="0" fontId="7" fillId="0" borderId="7" xfId="0" applyFont="1" applyBorder="1" applyAlignment="1">
      <alignment vertical="center" wrapText="1"/>
    </xf>
    <xf numFmtId="0" fontId="5" fillId="9" borderId="7" xfId="0" applyFont="1" applyFill="1" applyBorder="1" applyAlignment="1">
      <alignment wrapText="1"/>
    </xf>
    <xf numFmtId="3" fontId="5" fillId="9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/>
    <xf numFmtId="0" fontId="14" fillId="8" borderId="11" xfId="0" applyFont="1" applyFill="1" applyBorder="1"/>
    <xf numFmtId="3" fontId="14" fillId="8" borderId="11" xfId="0" applyNumberFormat="1" applyFont="1" applyFill="1" applyBorder="1"/>
    <xf numFmtId="0" fontId="7" fillId="11" borderId="7" xfId="0" applyFont="1" applyFill="1" applyBorder="1" applyAlignment="1">
      <alignment vertical="center" wrapText="1"/>
    </xf>
    <xf numFmtId="3" fontId="7" fillId="11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3" fontId="7" fillId="10" borderId="12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3" fontId="16" fillId="3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3" fillId="7" borderId="42" xfId="0" applyFont="1" applyFill="1" applyBorder="1"/>
    <xf numFmtId="3" fontId="13" fillId="7" borderId="42" xfId="0" applyNumberFormat="1" applyFont="1" applyFill="1" applyBorder="1"/>
    <xf numFmtId="0" fontId="1" fillId="0" borderId="18" xfId="0" applyFont="1" applyBorder="1" applyAlignment="1">
      <alignment horizontal="center"/>
    </xf>
    <xf numFmtId="0" fontId="14" fillId="8" borderId="3" xfId="0" applyFont="1" applyFill="1" applyBorder="1"/>
    <xf numFmtId="3" fontId="14" fillId="8" borderId="3" xfId="0" applyNumberFormat="1" applyFont="1" applyFill="1" applyBorder="1"/>
    <xf numFmtId="0" fontId="7" fillId="0" borderId="17" xfId="0" applyFont="1" applyBorder="1"/>
    <xf numFmtId="3" fontId="7" fillId="0" borderId="17" xfId="0" applyNumberFormat="1" applyFont="1" applyBorder="1"/>
    <xf numFmtId="0" fontId="13" fillId="7" borderId="17" xfId="0" applyFont="1" applyFill="1" applyBorder="1"/>
    <xf numFmtId="3" fontId="13" fillId="7" borderId="17" xfId="0" applyNumberFormat="1" applyFont="1" applyFill="1" applyBorder="1"/>
    <xf numFmtId="0" fontId="7" fillId="11" borderId="5" xfId="0" applyFont="1" applyFill="1" applyBorder="1"/>
    <xf numFmtId="3" fontId="7" fillId="11" borderId="5" xfId="0" applyNumberFormat="1" applyFont="1" applyFill="1" applyBorder="1"/>
    <xf numFmtId="0" fontId="8" fillId="0" borderId="5" xfId="0" applyFont="1" applyBorder="1"/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3" fontId="15" fillId="3" borderId="19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5" fillId="12" borderId="5" xfId="0" applyFont="1" applyFill="1" applyBorder="1" applyAlignment="1">
      <alignment vertical="center"/>
    </xf>
    <xf numFmtId="3" fontId="15" fillId="12" borderId="5" xfId="0" applyNumberFormat="1" applyFont="1" applyFill="1" applyBorder="1" applyAlignment="1">
      <alignment vertical="center"/>
    </xf>
    <xf numFmtId="0" fontId="17" fillId="0" borderId="14" xfId="0" applyFont="1" applyBorder="1" applyAlignment="1">
      <alignment horizontal="center"/>
    </xf>
    <xf numFmtId="0" fontId="18" fillId="13" borderId="19" xfId="0" applyFont="1" applyFill="1" applyBorder="1"/>
    <xf numFmtId="3" fontId="18" fillId="13" borderId="19" xfId="0" applyNumberFormat="1" applyFont="1" applyFill="1" applyBorder="1"/>
    <xf numFmtId="3" fontId="23" fillId="3" borderId="5" xfId="0" applyNumberFormat="1" applyFont="1" applyFill="1" applyBorder="1" applyAlignment="1">
      <alignment vertical="center"/>
    </xf>
    <xf numFmtId="3" fontId="23" fillId="3" borderId="20" xfId="0" applyNumberFormat="1" applyFont="1" applyFill="1" applyBorder="1" applyAlignment="1">
      <alignment vertical="center"/>
    </xf>
    <xf numFmtId="0" fontId="24" fillId="4" borderId="5" xfId="0" applyFont="1" applyFill="1" applyBorder="1"/>
    <xf numFmtId="3" fontId="24" fillId="4" borderId="5" xfId="0" applyNumberFormat="1" applyFont="1" applyFill="1" applyBorder="1"/>
    <xf numFmtId="3" fontId="24" fillId="10" borderId="5" xfId="0" applyNumberFormat="1" applyFont="1" applyFill="1" applyBorder="1"/>
    <xf numFmtId="3" fontId="24" fillId="4" borderId="20" xfId="0" applyNumberFormat="1" applyFont="1" applyFill="1" applyBorder="1" applyAlignment="1">
      <alignment horizontal="right"/>
    </xf>
    <xf numFmtId="0" fontId="14" fillId="14" borderId="5" xfId="0" applyFont="1" applyFill="1" applyBorder="1"/>
    <xf numFmtId="3" fontId="14" fillId="14" borderId="5" xfId="0" applyNumberFormat="1" applyFont="1" applyFill="1" applyBorder="1"/>
    <xf numFmtId="3" fontId="14" fillId="10" borderId="5" xfId="0" applyNumberFormat="1" applyFont="1" applyFill="1" applyBorder="1"/>
    <xf numFmtId="3" fontId="14" fillId="14" borderId="20" xfId="0" applyNumberFormat="1" applyFont="1" applyFill="1" applyBorder="1"/>
    <xf numFmtId="49" fontId="6" fillId="0" borderId="5" xfId="0" applyNumberFormat="1" applyFont="1" applyBorder="1" applyAlignment="1">
      <alignment horizontal="center"/>
    </xf>
    <xf numFmtId="3" fontId="6" fillId="10" borderId="5" xfId="0" applyNumberFormat="1" applyFont="1" applyFill="1" applyBorder="1"/>
    <xf numFmtId="3" fontId="6" fillId="0" borderId="20" xfId="0" applyNumberFormat="1" applyFont="1" applyBorder="1"/>
    <xf numFmtId="49" fontId="7" fillId="0" borderId="5" xfId="0" applyNumberFormat="1" applyFont="1" applyBorder="1" applyAlignment="1">
      <alignment horizontal="center"/>
    </xf>
    <xf numFmtId="3" fontId="7" fillId="10" borderId="5" xfId="0" applyNumberFormat="1" applyFont="1" applyFill="1" applyBorder="1"/>
    <xf numFmtId="3" fontId="7" fillId="0" borderId="20" xfId="0" applyNumberFormat="1" applyFont="1" applyBorder="1"/>
    <xf numFmtId="0" fontId="14" fillId="15" borderId="5" xfId="0" applyFont="1" applyFill="1" applyBorder="1"/>
    <xf numFmtId="3" fontId="14" fillId="15" borderId="5" xfId="0" applyNumberFormat="1" applyFont="1" applyFill="1" applyBorder="1"/>
    <xf numFmtId="3" fontId="14" fillId="15" borderId="20" xfId="0" applyNumberFormat="1" applyFont="1" applyFill="1" applyBorder="1"/>
    <xf numFmtId="3" fontId="24" fillId="4" borderId="20" xfId="0" applyNumberFormat="1" applyFont="1" applyFill="1" applyBorder="1"/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/>
    </xf>
    <xf numFmtId="3" fontId="9" fillId="10" borderId="5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3" fontId="9" fillId="10" borderId="5" xfId="0" applyNumberFormat="1" applyFont="1" applyFill="1" applyBorder="1"/>
    <xf numFmtId="3" fontId="9" fillId="0" borderId="20" xfId="0" applyNumberFormat="1" applyFont="1" applyBorder="1"/>
    <xf numFmtId="0" fontId="8" fillId="0" borderId="38" xfId="0" applyFont="1" applyBorder="1"/>
    <xf numFmtId="0" fontId="9" fillId="0" borderId="38" xfId="0" applyFont="1" applyBorder="1" applyAlignment="1">
      <alignment horizontal="center"/>
    </xf>
    <xf numFmtId="0" fontId="9" fillId="0" borderId="38" xfId="0" applyFont="1" applyBorder="1"/>
    <xf numFmtId="3" fontId="9" fillId="0" borderId="38" xfId="0" applyNumberFormat="1" applyFont="1" applyBorder="1"/>
    <xf numFmtId="3" fontId="9" fillId="0" borderId="48" xfId="0" applyNumberFormat="1" applyFont="1" applyBorder="1"/>
    <xf numFmtId="0" fontId="24" fillId="4" borderId="46" xfId="0" applyFont="1" applyFill="1" applyBorder="1"/>
    <xf numFmtId="3" fontId="24" fillId="4" borderId="4" xfId="0" applyNumberFormat="1" applyFont="1" applyFill="1" applyBorder="1"/>
    <xf numFmtId="3" fontId="24" fillId="4" borderId="47" xfId="0" applyNumberFormat="1" applyFont="1" applyFill="1" applyBorder="1"/>
    <xf numFmtId="0" fontId="24" fillId="4" borderId="21" xfId="0" applyFont="1" applyFill="1" applyBorder="1"/>
    <xf numFmtId="0" fontId="24" fillId="4" borderId="19" xfId="0" applyFont="1" applyFill="1" applyBorder="1"/>
    <xf numFmtId="3" fontId="24" fillId="4" borderId="19" xfId="0" applyNumberFormat="1" applyFont="1" applyFill="1" applyBorder="1"/>
    <xf numFmtId="3" fontId="24" fillId="4" borderId="22" xfId="0" applyNumberFormat="1" applyFont="1" applyFill="1" applyBorder="1"/>
    <xf numFmtId="0" fontId="5" fillId="0" borderId="0" xfId="0" applyFont="1"/>
    <xf numFmtId="0" fontId="25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3" fontId="8" fillId="0" borderId="19" xfId="0" applyNumberFormat="1" applyFont="1" applyBorder="1"/>
    <xf numFmtId="3" fontId="8" fillId="10" borderId="19" xfId="0" applyNumberFormat="1" applyFont="1" applyFill="1" applyBorder="1"/>
    <xf numFmtId="3" fontId="8" fillId="0" borderId="22" xfId="0" applyNumberFormat="1" applyFont="1" applyBorder="1"/>
    <xf numFmtId="0" fontId="1" fillId="0" borderId="64" xfId="0" applyFont="1" applyBorder="1" applyAlignment="1">
      <alignment horizontal="center" vertical="center"/>
    </xf>
    <xf numFmtId="0" fontId="7" fillId="0" borderId="32" xfId="0" applyFont="1" applyBorder="1"/>
    <xf numFmtId="49" fontId="7" fillId="0" borderId="32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3" fontId="7" fillId="0" borderId="32" xfId="0" applyNumberFormat="1" applyFont="1" applyBorder="1"/>
    <xf numFmtId="3" fontId="7" fillId="0" borderId="33" xfId="0" applyNumberFormat="1" applyFont="1" applyBorder="1"/>
    <xf numFmtId="0" fontId="1" fillId="0" borderId="23" xfId="0" applyFont="1" applyBorder="1" applyAlignment="1">
      <alignment horizontal="center" vertical="center"/>
    </xf>
    <xf numFmtId="3" fontId="23" fillId="3" borderId="24" xfId="0" applyNumberFormat="1" applyFont="1" applyFill="1" applyBorder="1" applyAlignment="1">
      <alignment vertical="center"/>
    </xf>
    <xf numFmtId="3" fontId="23" fillId="3" borderId="25" xfId="0" applyNumberFormat="1" applyFont="1" applyFill="1" applyBorder="1" applyAlignment="1">
      <alignment vertical="center"/>
    </xf>
    <xf numFmtId="0" fontId="24" fillId="4" borderId="24" xfId="0" applyFont="1" applyFill="1" applyBorder="1"/>
    <xf numFmtId="3" fontId="24" fillId="4" borderId="24" xfId="0" applyNumberFormat="1" applyFont="1" applyFill="1" applyBorder="1"/>
    <xf numFmtId="3" fontId="24" fillId="4" borderId="25" xfId="0" applyNumberFormat="1" applyFont="1" applyFill="1" applyBorder="1"/>
    <xf numFmtId="0" fontId="6" fillId="0" borderId="24" xfId="0" applyFont="1" applyBorder="1"/>
    <xf numFmtId="49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4" xfId="0" applyNumberFormat="1" applyFont="1" applyBorder="1"/>
    <xf numFmtId="3" fontId="6" fillId="0" borderId="25" xfId="0" applyNumberFormat="1" applyFont="1" applyBorder="1"/>
    <xf numFmtId="0" fontId="7" fillId="0" borderId="24" xfId="0" applyFont="1" applyBorder="1"/>
    <xf numFmtId="49" fontId="7" fillId="0" borderId="24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3" fontId="7" fillId="0" borderId="24" xfId="0" applyNumberFormat="1" applyFont="1" applyBorder="1"/>
    <xf numFmtId="3" fontId="7" fillId="0" borderId="25" xfId="0" applyNumberFormat="1" applyFont="1" applyBorder="1"/>
    <xf numFmtId="0" fontId="14" fillId="16" borderId="24" xfId="0" applyFont="1" applyFill="1" applyBorder="1"/>
    <xf numFmtId="0" fontId="14" fillId="16" borderId="24" xfId="0" applyFont="1" applyFill="1" applyBorder="1" applyAlignment="1">
      <alignment horizontal="center"/>
    </xf>
    <xf numFmtId="3" fontId="14" fillId="16" borderId="24" xfId="0" applyNumberFormat="1" applyFont="1" applyFill="1" applyBorder="1"/>
    <xf numFmtId="3" fontId="14" fillId="16" borderId="25" xfId="0" applyNumberFormat="1" applyFont="1" applyFill="1" applyBorder="1"/>
    <xf numFmtId="0" fontId="9" fillId="0" borderId="24" xfId="0" applyFont="1" applyBorder="1"/>
    <xf numFmtId="49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3" fontId="9" fillId="0" borderId="24" xfId="0" applyNumberFormat="1" applyFont="1" applyBorder="1"/>
    <xf numFmtId="3" fontId="9" fillId="0" borderId="25" xfId="0" applyNumberFormat="1" applyFont="1" applyBorder="1"/>
    <xf numFmtId="0" fontId="14" fillId="5" borderId="24" xfId="0" applyFont="1" applyFill="1" applyBorder="1"/>
    <xf numFmtId="0" fontId="14" fillId="5" borderId="24" xfId="0" applyFont="1" applyFill="1" applyBorder="1" applyAlignment="1">
      <alignment horizontal="center"/>
    </xf>
    <xf numFmtId="3" fontId="14" fillId="5" borderId="24" xfId="0" applyNumberFormat="1" applyFont="1" applyFill="1" applyBorder="1"/>
    <xf numFmtId="3" fontId="14" fillId="5" borderId="25" xfId="0" applyNumberFormat="1" applyFont="1" applyFill="1" applyBorder="1"/>
    <xf numFmtId="0" fontId="7" fillId="0" borderId="27" xfId="0" applyFont="1" applyBorder="1"/>
    <xf numFmtId="49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3" fontId="7" fillId="0" borderId="28" xfId="0" applyNumberFormat="1" applyFont="1" applyBorder="1"/>
    <xf numFmtId="0" fontId="8" fillId="0" borderId="24" xfId="0" applyFont="1" applyBorder="1"/>
    <xf numFmtId="0" fontId="14" fillId="5" borderId="5" xfId="0" applyFont="1" applyFill="1" applyBorder="1"/>
    <xf numFmtId="0" fontId="14" fillId="5" borderId="5" xfId="0" applyFont="1" applyFill="1" applyBorder="1" applyAlignment="1">
      <alignment horizontal="center"/>
    </xf>
    <xf numFmtId="3" fontId="14" fillId="5" borderId="5" xfId="0" applyNumberFormat="1" applyFont="1" applyFill="1" applyBorder="1"/>
    <xf numFmtId="3" fontId="14" fillId="5" borderId="20" xfId="0" applyNumberFormat="1" applyFont="1" applyFill="1" applyBorder="1"/>
    <xf numFmtId="0" fontId="7" fillId="17" borderId="5" xfId="0" applyFont="1" applyFill="1" applyBorder="1"/>
    <xf numFmtId="49" fontId="7" fillId="17" borderId="5" xfId="0" applyNumberFormat="1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3" fontId="7" fillId="17" borderId="5" xfId="0" applyNumberFormat="1" applyFont="1" applyFill="1" applyBorder="1"/>
    <xf numFmtId="3" fontId="7" fillId="17" borderId="20" xfId="0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9" fillId="10" borderId="7" xfId="0" applyFont="1" applyFill="1" applyBorder="1" applyAlignment="1">
      <alignment vertical="center" wrapText="1"/>
    </xf>
    <xf numFmtId="3" fontId="9" fillId="0" borderId="49" xfId="0" applyNumberFormat="1" applyFont="1" applyBorder="1" applyAlignment="1">
      <alignment vertical="center"/>
    </xf>
    <xf numFmtId="0" fontId="9" fillId="10" borderId="0" xfId="0" applyFont="1" applyFill="1" applyAlignment="1">
      <alignment vertical="center" wrapText="1"/>
    </xf>
    <xf numFmtId="3" fontId="9" fillId="0" borderId="65" xfId="0" applyNumberFormat="1" applyFont="1" applyBorder="1" applyAlignment="1">
      <alignment vertical="center"/>
    </xf>
    <xf numFmtId="0" fontId="6" fillId="6" borderId="5" xfId="0" applyFont="1" applyFill="1" applyBorder="1"/>
    <xf numFmtId="0" fontId="6" fillId="6" borderId="5" xfId="0" applyFont="1" applyFill="1" applyBorder="1" applyAlignment="1">
      <alignment horizontal="center"/>
    </xf>
    <xf numFmtId="3" fontId="6" fillId="6" borderId="5" xfId="0" applyNumberFormat="1" applyFont="1" applyFill="1" applyBorder="1"/>
    <xf numFmtId="3" fontId="6" fillId="6" borderId="20" xfId="0" applyNumberFormat="1" applyFont="1" applyFill="1" applyBorder="1"/>
    <xf numFmtId="49" fontId="9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6" fillId="18" borderId="5" xfId="0" applyFont="1" applyFill="1" applyBorder="1"/>
    <xf numFmtId="49" fontId="6" fillId="18" borderId="5" xfId="0" applyNumberFormat="1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3" fontId="6" fillId="18" borderId="5" xfId="0" applyNumberFormat="1" applyFont="1" applyFill="1" applyBorder="1"/>
    <xf numFmtId="3" fontId="6" fillId="18" borderId="20" xfId="0" applyNumberFormat="1" applyFont="1" applyFill="1" applyBorder="1"/>
    <xf numFmtId="0" fontId="9" fillId="0" borderId="5" xfId="0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39" xfId="0" applyFont="1" applyBorder="1"/>
    <xf numFmtId="49" fontId="6" fillId="0" borderId="39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3" fontId="6" fillId="0" borderId="39" xfId="0" applyNumberFormat="1" applyFont="1" applyBorder="1"/>
    <xf numFmtId="3" fontId="6" fillId="0" borderId="29" xfId="0" applyNumberFormat="1" applyFont="1" applyBorder="1"/>
    <xf numFmtId="3" fontId="8" fillId="0" borderId="20" xfId="0" applyNumberFormat="1" applyFont="1" applyBorder="1"/>
    <xf numFmtId="49" fontId="6" fillId="17" borderId="5" xfId="0" applyNumberFormat="1" applyFont="1" applyFill="1" applyBorder="1" applyAlignment="1">
      <alignment horizontal="center"/>
    </xf>
    <xf numFmtId="3" fontId="6" fillId="0" borderId="0" xfId="0" applyNumberFormat="1" applyFont="1"/>
    <xf numFmtId="0" fontId="7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vertical="center"/>
    </xf>
    <xf numFmtId="0" fontId="7" fillId="10" borderId="5" xfId="0" applyFont="1" applyFill="1" applyBorder="1" applyAlignment="1">
      <alignment horizontal="center"/>
    </xf>
    <xf numFmtId="0" fontId="7" fillId="10" borderId="5" xfId="0" applyFont="1" applyFill="1" applyBorder="1"/>
    <xf numFmtId="3" fontId="7" fillId="10" borderId="43" xfId="0" applyNumberFormat="1" applyFont="1" applyFill="1" applyBorder="1"/>
    <xf numFmtId="3" fontId="7" fillId="10" borderId="20" xfId="0" applyNumberFormat="1" applyFont="1" applyFill="1" applyBorder="1"/>
    <xf numFmtId="3" fontId="9" fillId="0" borderId="39" xfId="0" applyNumberFormat="1" applyFont="1" applyBorder="1"/>
    <xf numFmtId="3" fontId="7" fillId="0" borderId="39" xfId="0" applyNumberFormat="1" applyFont="1" applyBorder="1"/>
    <xf numFmtId="0" fontId="8" fillId="0" borderId="39" xfId="0" applyFont="1" applyBorder="1"/>
    <xf numFmtId="0" fontId="8" fillId="0" borderId="39" xfId="0" applyFont="1" applyBorder="1" applyAlignment="1">
      <alignment horizontal="center"/>
    </xf>
    <xf numFmtId="0" fontId="9" fillId="0" borderId="39" xfId="0" applyFont="1" applyBorder="1" applyAlignment="1">
      <alignment wrapText="1"/>
    </xf>
    <xf numFmtId="3" fontId="8" fillId="0" borderId="37" xfId="0" applyNumberFormat="1" applyFont="1" applyBorder="1"/>
    <xf numFmtId="0" fontId="24" fillId="4" borderId="39" xfId="0" applyFont="1" applyFill="1" applyBorder="1"/>
    <xf numFmtId="3" fontId="24" fillId="4" borderId="39" xfId="0" applyNumberFormat="1" applyFont="1" applyFill="1" applyBorder="1"/>
    <xf numFmtId="3" fontId="24" fillId="4" borderId="31" xfId="0" applyNumberFormat="1" applyFont="1" applyFill="1" applyBorder="1"/>
    <xf numFmtId="0" fontId="6" fillId="0" borderId="13" xfId="0" applyFont="1" applyBorder="1"/>
    <xf numFmtId="0" fontId="6" fillId="0" borderId="7" xfId="0" applyFont="1" applyBorder="1"/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/>
    <xf numFmtId="3" fontId="6" fillId="0" borderId="52" xfId="0" applyNumberFormat="1" applyFont="1" applyBorder="1"/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54" xfId="0" applyNumberFormat="1" applyFont="1" applyBorder="1" applyAlignment="1">
      <alignment vertical="center"/>
    </xf>
    <xf numFmtId="0" fontId="9" fillId="0" borderId="7" xfId="0" applyFont="1" applyBorder="1"/>
    <xf numFmtId="3" fontId="9" fillId="0" borderId="7" xfId="0" applyNumberFormat="1" applyFont="1" applyBorder="1"/>
    <xf numFmtId="3" fontId="7" fillId="0" borderId="52" xfId="0" applyNumberFormat="1" applyFont="1" applyBorder="1"/>
    <xf numFmtId="3" fontId="9" fillId="0" borderId="52" xfId="0" applyNumberFormat="1" applyFont="1" applyBorder="1"/>
    <xf numFmtId="0" fontId="2" fillId="0" borderId="45" xfId="0" applyFont="1" applyBorder="1"/>
    <xf numFmtId="0" fontId="2" fillId="0" borderId="10" xfId="0" applyFont="1" applyBorder="1"/>
    <xf numFmtId="49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3" fontId="6" fillId="0" borderId="10" xfId="0" applyNumberFormat="1" applyFont="1" applyBorder="1"/>
    <xf numFmtId="3" fontId="7" fillId="0" borderId="10" xfId="0" applyNumberFormat="1" applyFont="1" applyBorder="1"/>
    <xf numFmtId="0" fontId="2" fillId="0" borderId="13" xfId="0" applyFont="1" applyBorder="1"/>
    <xf numFmtId="0" fontId="2" fillId="0" borderId="7" xfId="0" applyFont="1" applyBorder="1"/>
    <xf numFmtId="0" fontId="7" fillId="0" borderId="7" xfId="0" applyFont="1" applyBorder="1" applyAlignment="1">
      <alignment horizontal="center"/>
    </xf>
    <xf numFmtId="0" fontId="2" fillId="0" borderId="44" xfId="0" applyFont="1" applyBorder="1"/>
    <xf numFmtId="0" fontId="2" fillId="0" borderId="40" xfId="0" applyFont="1" applyBorder="1"/>
    <xf numFmtId="49" fontId="6" fillId="0" borderId="40" xfId="0" applyNumberFormat="1" applyFont="1" applyBorder="1" applyAlignment="1">
      <alignment horizontal="center"/>
    </xf>
    <xf numFmtId="0" fontId="9" fillId="0" borderId="36" xfId="0" applyFont="1" applyBorder="1"/>
    <xf numFmtId="3" fontId="9" fillId="0" borderId="36" xfId="0" applyNumberFormat="1" applyFont="1" applyBorder="1"/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3" fontId="7" fillId="0" borderId="41" xfId="0" applyNumberFormat="1" applyFont="1" applyBorder="1"/>
    <xf numFmtId="0" fontId="9" fillId="0" borderId="30" xfId="0" applyFont="1" applyBorder="1"/>
    <xf numFmtId="3" fontId="9" fillId="0" borderId="30" xfId="0" applyNumberFormat="1" applyFont="1" applyBorder="1"/>
    <xf numFmtId="3" fontId="9" fillId="0" borderId="31" xfId="0" applyNumberFormat="1" applyFont="1" applyBorder="1"/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/>
    </xf>
    <xf numFmtId="0" fontId="6" fillId="0" borderId="17" xfId="0" applyFont="1" applyBorder="1"/>
    <xf numFmtId="49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3" fontId="6" fillId="0" borderId="17" xfId="0" applyNumberFormat="1" applyFont="1" applyBorder="1"/>
    <xf numFmtId="0" fontId="24" fillId="4" borderId="30" xfId="0" applyFont="1" applyFill="1" applyBorder="1"/>
    <xf numFmtId="3" fontId="24" fillId="4" borderId="30" xfId="0" applyNumberFormat="1" applyFont="1" applyFill="1" applyBorder="1"/>
    <xf numFmtId="0" fontId="6" fillId="0" borderId="32" xfId="0" applyFont="1" applyBorder="1"/>
    <xf numFmtId="49" fontId="6" fillId="0" borderId="32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" fontId="6" fillId="0" borderId="32" xfId="0" applyNumberFormat="1" applyFont="1" applyBorder="1"/>
    <xf numFmtId="3" fontId="6" fillId="10" borderId="32" xfId="0" applyNumberFormat="1" applyFont="1" applyFill="1" applyBorder="1"/>
    <xf numFmtId="3" fontId="6" fillId="0" borderId="33" xfId="0" applyNumberFormat="1" applyFont="1" applyBorder="1"/>
    <xf numFmtId="3" fontId="1" fillId="0" borderId="23" xfId="0" applyNumberFormat="1" applyFont="1" applyBorder="1" applyAlignment="1">
      <alignment horizontal="center"/>
    </xf>
    <xf numFmtId="3" fontId="14" fillId="20" borderId="24" xfId="0" applyNumberFormat="1" applyFont="1" applyFill="1" applyBorder="1"/>
    <xf numFmtId="3" fontId="14" fillId="22" borderId="24" xfId="0" applyNumberFormat="1" applyFont="1" applyFill="1" applyBorder="1"/>
    <xf numFmtId="3" fontId="26" fillId="0" borderId="0" xfId="0" applyNumberFormat="1" applyFont="1"/>
    <xf numFmtId="3" fontId="29" fillId="0" borderId="24" xfId="0" applyNumberFormat="1" applyFont="1" applyBorder="1"/>
    <xf numFmtId="3" fontId="1" fillId="0" borderId="23" xfId="0" applyNumberFormat="1" applyFont="1" applyBorder="1" applyAlignment="1">
      <alignment horizontal="center" vertical="center"/>
    </xf>
    <xf numFmtId="3" fontId="14" fillId="20" borderId="24" xfId="0" applyNumberFormat="1" applyFont="1" applyFill="1" applyBorder="1" applyAlignment="1">
      <alignment vertical="center"/>
    </xf>
    <xf numFmtId="3" fontId="14" fillId="22" borderId="24" xfId="0" applyNumberFormat="1" applyFont="1" applyFill="1" applyBorder="1" applyAlignment="1">
      <alignment vertical="center"/>
    </xf>
    <xf numFmtId="3" fontId="26" fillId="0" borderId="0" xfId="0" applyNumberFormat="1" applyFont="1" applyAlignment="1">
      <alignment vertical="center"/>
    </xf>
    <xf numFmtId="3" fontId="1" fillId="0" borderId="26" xfId="0" applyNumberFormat="1" applyFont="1" applyBorder="1" applyAlignment="1">
      <alignment horizontal="center" vertical="center"/>
    </xf>
    <xf numFmtId="3" fontId="14" fillId="20" borderId="27" xfId="0" applyNumberFormat="1" applyFont="1" applyFill="1" applyBorder="1" applyAlignment="1">
      <alignment vertical="center"/>
    </xf>
    <xf numFmtId="3" fontId="14" fillId="22" borderId="27" xfId="0" applyNumberFormat="1" applyFont="1" applyFill="1" applyBorder="1" applyAlignment="1">
      <alignment vertical="center"/>
    </xf>
    <xf numFmtId="3" fontId="5" fillId="19" borderId="24" xfId="0" applyNumberFormat="1" applyFont="1" applyFill="1" applyBorder="1"/>
    <xf numFmtId="3" fontId="5" fillId="0" borderId="24" xfId="0" applyNumberFormat="1" applyFont="1" applyBorder="1"/>
    <xf numFmtId="3" fontId="9" fillId="2" borderId="34" xfId="0" applyNumberFormat="1" applyFont="1" applyFill="1" applyBorder="1"/>
    <xf numFmtId="3" fontId="9" fillId="0" borderId="35" xfId="0" applyNumberFormat="1" applyFont="1" applyBorder="1"/>
    <xf numFmtId="3" fontId="14" fillId="21" borderId="27" xfId="0" applyNumberFormat="1" applyFont="1" applyFill="1" applyBorder="1" applyAlignment="1">
      <alignment vertical="center"/>
    </xf>
    <xf numFmtId="49" fontId="5" fillId="9" borderId="4" xfId="0" applyNumberFormat="1" applyFont="1" applyFill="1" applyBorder="1" applyAlignment="1">
      <alignment horizontal="right"/>
    </xf>
    <xf numFmtId="49" fontId="5" fillId="9" borderId="5" xfId="0" applyNumberFormat="1" applyFont="1" applyFill="1" applyBorder="1" applyAlignment="1">
      <alignment horizontal="right"/>
    </xf>
    <xf numFmtId="49" fontId="6" fillId="0" borderId="5" xfId="0" applyNumberFormat="1" applyFont="1" applyBorder="1" applyAlignment="1">
      <alignment horizontal="right"/>
    </xf>
    <xf numFmtId="49" fontId="13" fillId="7" borderId="8" xfId="0" applyNumberFormat="1" applyFont="1" applyFill="1" applyBorder="1" applyAlignment="1">
      <alignment horizontal="right"/>
    </xf>
    <xf numFmtId="49" fontId="14" fillId="8" borderId="9" xfId="0" applyNumberFormat="1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7" fillId="0" borderId="7" xfId="0" applyNumberFormat="1" applyFont="1" applyBorder="1" applyAlignment="1">
      <alignment horizontal="right"/>
    </xf>
    <xf numFmtId="1" fontId="5" fillId="9" borderId="10" xfId="0" applyNumberFormat="1" applyFont="1" applyFill="1" applyBorder="1" applyAlignment="1">
      <alignment horizontal="right"/>
    </xf>
    <xf numFmtId="1" fontId="5" fillId="9" borderId="7" xfId="0" applyNumberFormat="1" applyFont="1" applyFill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14" fillId="8" borderId="9" xfId="0" applyNumberFormat="1" applyFont="1" applyFill="1" applyBorder="1" applyAlignment="1">
      <alignment horizontal="right"/>
    </xf>
    <xf numFmtId="1" fontId="7" fillId="0" borderId="7" xfId="0" applyNumberFormat="1" applyFont="1" applyBorder="1" applyAlignment="1">
      <alignment horizontal="right" vertical="center"/>
    </xf>
    <xf numFmtId="1" fontId="14" fillId="8" borderId="11" xfId="0" applyNumberFormat="1" applyFont="1" applyFill="1" applyBorder="1" applyAlignment="1">
      <alignment horizontal="right"/>
    </xf>
    <xf numFmtId="1" fontId="13" fillId="7" borderId="8" xfId="0" applyNumberFormat="1" applyFont="1" applyFill="1" applyBorder="1" applyAlignment="1">
      <alignment horizontal="right"/>
    </xf>
    <xf numFmtId="1" fontId="7" fillId="11" borderId="7" xfId="0" applyNumberFormat="1" applyFont="1" applyFill="1" applyBorder="1" applyAlignment="1">
      <alignment horizontal="right" vertical="center"/>
    </xf>
    <xf numFmtId="1" fontId="8" fillId="0" borderId="7" xfId="0" applyNumberFormat="1" applyFont="1" applyBorder="1" applyAlignment="1">
      <alignment horizontal="right"/>
    </xf>
    <xf numFmtId="1" fontId="8" fillId="0" borderId="12" xfId="0" applyNumberFormat="1" applyFont="1" applyBorder="1" applyAlignment="1">
      <alignment horizontal="right"/>
    </xf>
    <xf numFmtId="1" fontId="8" fillId="0" borderId="8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right" vertical="center"/>
    </xf>
    <xf numFmtId="1" fontId="15" fillId="3" borderId="15" xfId="0" applyNumberFormat="1" applyFont="1" applyFill="1" applyBorder="1" applyAlignment="1">
      <alignment horizontal="right" vertical="center"/>
    </xf>
    <xf numFmtId="1" fontId="13" fillId="7" borderId="42" xfId="0" applyNumberFormat="1" applyFont="1" applyFill="1" applyBorder="1"/>
    <xf numFmtId="1" fontId="14" fillId="8" borderId="3" xfId="0" applyNumberFormat="1" applyFont="1" applyFill="1" applyBorder="1"/>
    <xf numFmtId="1" fontId="5" fillId="9" borderId="4" xfId="0" applyNumberFormat="1" applyFont="1" applyFill="1" applyBorder="1"/>
    <xf numFmtId="1" fontId="7" fillId="0" borderId="5" xfId="0" applyNumberFormat="1" applyFont="1" applyBorder="1"/>
    <xf numFmtId="1" fontId="7" fillId="0" borderId="17" xfId="0" applyNumberFormat="1" applyFont="1" applyBorder="1"/>
    <xf numFmtId="1" fontId="13" fillId="7" borderId="17" xfId="0" applyNumberFormat="1" applyFont="1" applyFill="1" applyBorder="1"/>
    <xf numFmtId="1" fontId="7" fillId="11" borderId="5" xfId="0" applyNumberFormat="1" applyFont="1" applyFill="1" applyBorder="1"/>
    <xf numFmtId="1" fontId="8" fillId="0" borderId="5" xfId="0" applyNumberFormat="1" applyFont="1" applyBorder="1"/>
    <xf numFmtId="1" fontId="8" fillId="0" borderId="4" xfId="0" applyNumberFormat="1" applyFont="1" applyBorder="1"/>
    <xf numFmtId="1" fontId="15" fillId="3" borderId="19" xfId="0" applyNumberFormat="1" applyFont="1" applyFill="1" applyBorder="1" applyAlignment="1">
      <alignment vertical="center"/>
    </xf>
    <xf numFmtId="0" fontId="9" fillId="0" borderId="66" xfId="0" applyFont="1" applyBorder="1" applyAlignment="1">
      <alignment horizontal="center" vertical="center"/>
    </xf>
    <xf numFmtId="0" fontId="7" fillId="0" borderId="12" xfId="0" applyFont="1" applyBorder="1"/>
    <xf numFmtId="3" fontId="7" fillId="0" borderId="12" xfId="0" applyNumberFormat="1" applyFont="1" applyBorder="1"/>
    <xf numFmtId="0" fontId="7" fillId="11" borderId="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2" fillId="0" borderId="67" xfId="0" applyFont="1" applyBorder="1"/>
    <xf numFmtId="0" fontId="2" fillId="0" borderId="8" xfId="0" applyFont="1" applyBorder="1"/>
    <xf numFmtId="49" fontId="6" fillId="0" borderId="8" xfId="0" applyNumberFormat="1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9" xfId="0" applyFont="1" applyBorder="1"/>
    <xf numFmtId="3" fontId="7" fillId="0" borderId="69" xfId="0" applyNumberFormat="1" applyFont="1" applyBorder="1"/>
    <xf numFmtId="3" fontId="7" fillId="0" borderId="70" xfId="0" applyNumberFormat="1" applyFont="1" applyBorder="1"/>
    <xf numFmtId="0" fontId="7" fillId="0" borderId="71" xfId="0" applyFont="1" applyBorder="1" applyAlignment="1">
      <alignment horizontal="center"/>
    </xf>
    <xf numFmtId="0" fontId="7" fillId="0" borderId="71" xfId="0" applyFont="1" applyBorder="1"/>
    <xf numFmtId="3" fontId="7" fillId="0" borderId="71" xfId="0" applyNumberFormat="1" applyFont="1" applyBorder="1"/>
    <xf numFmtId="3" fontId="7" fillId="0" borderId="68" xfId="0" applyNumberFormat="1" applyFont="1" applyBorder="1"/>
    <xf numFmtId="3" fontId="6" fillId="0" borderId="53" xfId="0" applyNumberFormat="1" applyFont="1" applyBorder="1"/>
    <xf numFmtId="0" fontId="9" fillId="0" borderId="72" xfId="0" applyFont="1" applyBorder="1" applyAlignment="1">
      <alignment horizontal="center"/>
    </xf>
    <xf numFmtId="3" fontId="9" fillId="0" borderId="65" xfId="0" applyNumberFormat="1" applyFont="1" applyBorder="1"/>
    <xf numFmtId="46" fontId="9" fillId="0" borderId="73" xfId="0" applyNumberFormat="1" applyFont="1" applyBorder="1" applyAlignment="1">
      <alignment vertical="center" wrapText="1"/>
    </xf>
    <xf numFmtId="164" fontId="2" fillId="0" borderId="0" xfId="0" applyNumberFormat="1" applyFont="1"/>
    <xf numFmtId="0" fontId="6" fillId="18" borderId="5" xfId="0" applyFont="1" applyFill="1" applyBorder="1" applyAlignment="1">
      <alignment vertical="center"/>
    </xf>
    <xf numFmtId="0" fontId="6" fillId="18" borderId="5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vertical="center" wrapText="1"/>
    </xf>
    <xf numFmtId="3" fontId="6" fillId="18" borderId="5" xfId="0" applyNumberFormat="1" applyFont="1" applyFill="1" applyBorder="1" applyAlignment="1">
      <alignment vertical="center"/>
    </xf>
    <xf numFmtId="3" fontId="9" fillId="2" borderId="35" xfId="0" applyNumberFormat="1" applyFont="1" applyFill="1" applyBorder="1"/>
    <xf numFmtId="3" fontId="33" fillId="0" borderId="25" xfId="0" applyNumberFormat="1" applyFont="1" applyBorder="1" applyAlignment="1">
      <alignment horizontal="center" vertical="center" wrapText="1"/>
    </xf>
    <xf numFmtId="165" fontId="1" fillId="0" borderId="25" xfId="0" applyNumberFormat="1" applyFont="1" applyBorder="1"/>
    <xf numFmtId="3" fontId="11" fillId="7" borderId="50" xfId="0" applyNumberFormat="1" applyFont="1" applyFill="1" applyBorder="1" applyAlignment="1">
      <alignment horizontal="center" vertical="center" wrapText="1"/>
    </xf>
    <xf numFmtId="3" fontId="1" fillId="0" borderId="50" xfId="0" applyNumberFormat="1" applyFont="1" applyBorder="1" applyAlignment="1">
      <alignment horizontal="center" vertical="center" wrapText="1"/>
    </xf>
    <xf numFmtId="3" fontId="1" fillId="0" borderId="79" xfId="0" applyNumberFormat="1" applyFont="1" applyBorder="1" applyAlignment="1">
      <alignment horizontal="center" vertical="center" wrapText="1"/>
    </xf>
    <xf numFmtId="166" fontId="11" fillId="22" borderId="24" xfId="0" applyNumberFormat="1" applyFont="1" applyFill="1" applyBorder="1"/>
    <xf numFmtId="166" fontId="38" fillId="0" borderId="24" xfId="0" applyNumberFormat="1" applyFont="1" applyBorder="1"/>
    <xf numFmtId="166" fontId="11" fillId="22" borderId="24" xfId="0" applyNumberFormat="1" applyFont="1" applyFill="1" applyBorder="1" applyAlignment="1">
      <alignment vertical="center"/>
    </xf>
    <xf numFmtId="165" fontId="11" fillId="22" borderId="24" xfId="0" applyNumberFormat="1" applyFont="1" applyFill="1" applyBorder="1"/>
    <xf numFmtId="165" fontId="8" fillId="0" borderId="24" xfId="0" applyNumberFormat="1" applyFont="1" applyBorder="1"/>
    <xf numFmtId="165" fontId="11" fillId="20" borderId="24" xfId="0" applyNumberFormat="1" applyFont="1" applyFill="1" applyBorder="1" applyAlignment="1">
      <alignment vertical="center"/>
    </xf>
    <xf numFmtId="165" fontId="11" fillId="22" borderId="24" xfId="0" applyNumberFormat="1" applyFont="1" applyFill="1" applyBorder="1" applyAlignment="1">
      <alignment vertical="center"/>
    </xf>
    <xf numFmtId="165" fontId="33" fillId="0" borderId="25" xfId="0" applyNumberFormat="1" applyFont="1" applyBorder="1"/>
    <xf numFmtId="1" fontId="8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vertical="center" wrapText="1"/>
    </xf>
    <xf numFmtId="3" fontId="7" fillId="10" borderId="8" xfId="0" applyNumberFormat="1" applyFont="1" applyFill="1" applyBorder="1" applyAlignment="1">
      <alignment vertical="center"/>
    </xf>
    <xf numFmtId="165" fontId="1" fillId="0" borderId="93" xfId="0" applyNumberFormat="1" applyFont="1" applyBorder="1"/>
    <xf numFmtId="165" fontId="1" fillId="0" borderId="94" xfId="0" applyNumberFormat="1" applyFont="1" applyBorder="1"/>
    <xf numFmtId="1" fontId="8" fillId="0" borderId="13" xfId="0" applyNumberFormat="1" applyFont="1" applyBorder="1" applyAlignment="1">
      <alignment horizontal="right"/>
    </xf>
    <xf numFmtId="165" fontId="1" fillId="0" borderId="95" xfId="0" applyNumberFormat="1" applyFont="1" applyBorder="1"/>
    <xf numFmtId="165" fontId="1" fillId="0" borderId="25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52" xfId="0" applyNumberFormat="1" applyFont="1" applyBorder="1" applyAlignment="1">
      <alignment vertical="center"/>
    </xf>
    <xf numFmtId="3" fontId="7" fillId="0" borderId="52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vertical="center" wrapText="1"/>
    </xf>
    <xf numFmtId="165" fontId="1" fillId="0" borderId="25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9" fillId="0" borderId="20" xfId="0" applyNumberFormat="1" applyFont="1" applyBorder="1" applyAlignment="1">
      <alignment vertical="center" wrapText="1"/>
    </xf>
    <xf numFmtId="3" fontId="8" fillId="0" borderId="20" xfId="0" applyNumberFormat="1" applyFont="1" applyBorder="1" applyAlignment="1">
      <alignment vertical="center"/>
    </xf>
    <xf numFmtId="3" fontId="24" fillId="4" borderId="96" xfId="0" applyNumberFormat="1" applyFont="1" applyFill="1" applyBorder="1"/>
    <xf numFmtId="3" fontId="6" fillId="0" borderId="97" xfId="0" applyNumberFormat="1" applyFont="1" applyBorder="1"/>
    <xf numFmtId="165" fontId="1" fillId="0" borderId="98" xfId="0" applyNumberFormat="1" applyFont="1" applyBorder="1"/>
    <xf numFmtId="3" fontId="7" fillId="0" borderId="97" xfId="0" applyNumberFormat="1" applyFont="1" applyBorder="1"/>
    <xf numFmtId="3" fontId="9" fillId="0" borderId="97" xfId="0" applyNumberFormat="1" applyFont="1" applyBorder="1"/>
    <xf numFmtId="3" fontId="9" fillId="25" borderId="5" xfId="0" applyNumberFormat="1" applyFont="1" applyFill="1" applyBorder="1"/>
    <xf numFmtId="165" fontId="9" fillId="0" borderId="25" xfId="0" applyNumberFormat="1" applyFont="1" applyBorder="1"/>
    <xf numFmtId="165" fontId="7" fillId="0" borderId="25" xfId="0" applyNumberFormat="1" applyFont="1" applyBorder="1"/>
    <xf numFmtId="3" fontId="7" fillId="0" borderId="8" xfId="0" applyNumberFormat="1" applyFont="1" applyBorder="1" applyAlignment="1">
      <alignment vertical="center"/>
    </xf>
    <xf numFmtId="0" fontId="6" fillId="0" borderId="99" xfId="0" applyFont="1" applyBorder="1"/>
    <xf numFmtId="0" fontId="7" fillId="0" borderId="99" xfId="0" applyFont="1" applyBorder="1"/>
    <xf numFmtId="0" fontId="9" fillId="0" borderId="99" xfId="0" applyFont="1" applyBorder="1"/>
    <xf numFmtId="0" fontId="9" fillId="0" borderId="99" xfId="0" applyFont="1" applyBorder="1" applyAlignment="1">
      <alignment vertical="center"/>
    </xf>
    <xf numFmtId="0" fontId="6" fillId="0" borderId="10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06" xfId="0" applyFont="1" applyBorder="1"/>
    <xf numFmtId="0" fontId="8" fillId="0" borderId="6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13" xfId="0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9" fillId="0" borderId="109" xfId="0" applyFont="1" applyBorder="1"/>
    <xf numFmtId="49" fontId="9" fillId="0" borderId="109" xfId="0" applyNumberFormat="1" applyFont="1" applyBorder="1" applyAlignment="1">
      <alignment horizontal="center"/>
    </xf>
    <xf numFmtId="0" fontId="9" fillId="0" borderId="109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6" fillId="0" borderId="38" xfId="0" applyFont="1" applyBorder="1"/>
    <xf numFmtId="49" fontId="6" fillId="0" borderId="38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3" fontId="7" fillId="0" borderId="0" xfId="0" applyNumberFormat="1" applyFont="1"/>
    <xf numFmtId="165" fontId="14" fillId="20" borderId="24" xfId="0" applyNumberFormat="1" applyFont="1" applyFill="1" applyBorder="1" applyAlignment="1">
      <alignment vertical="center"/>
    </xf>
    <xf numFmtId="3" fontId="5" fillId="0" borderId="110" xfId="0" applyNumberFormat="1" applyFont="1" applyBorder="1"/>
    <xf numFmtId="165" fontId="33" fillId="0" borderId="111" xfId="0" applyNumberFormat="1" applyFont="1" applyBorder="1"/>
    <xf numFmtId="3" fontId="5" fillId="0" borderId="112" xfId="0" applyNumberFormat="1" applyFont="1" applyBorder="1"/>
    <xf numFmtId="165" fontId="33" fillId="0" borderId="98" xfId="0" applyNumberFormat="1" applyFont="1" applyBorder="1"/>
    <xf numFmtId="3" fontId="9" fillId="2" borderId="113" xfId="0" applyNumberFormat="1" applyFont="1" applyFill="1" applyBorder="1"/>
    <xf numFmtId="3" fontId="9" fillId="2" borderId="114" xfId="0" applyNumberFormat="1" applyFont="1" applyFill="1" applyBorder="1"/>
    <xf numFmtId="3" fontId="9" fillId="0" borderId="114" xfId="0" applyNumberFormat="1" applyFont="1" applyBorder="1"/>
    <xf numFmtId="3" fontId="2" fillId="0" borderId="114" xfId="0" applyNumberFormat="1" applyFont="1" applyBorder="1"/>
    <xf numFmtId="3" fontId="5" fillId="19" borderId="115" xfId="0" applyNumberFormat="1" applyFont="1" applyFill="1" applyBorder="1"/>
    <xf numFmtId="165" fontId="33" fillId="0" borderId="116" xfId="0" applyNumberFormat="1" applyFont="1" applyBorder="1"/>
    <xf numFmtId="3" fontId="9" fillId="2" borderId="118" xfId="0" applyNumberFormat="1" applyFont="1" applyFill="1" applyBorder="1"/>
    <xf numFmtId="3" fontId="9" fillId="2" borderId="119" xfId="0" applyNumberFormat="1" applyFont="1" applyFill="1" applyBorder="1"/>
    <xf numFmtId="3" fontId="9" fillId="0" borderId="119" xfId="0" applyNumberFormat="1" applyFont="1" applyBorder="1"/>
    <xf numFmtId="3" fontId="26" fillId="19" borderId="121" xfId="0" applyNumberFormat="1" applyFont="1" applyFill="1" applyBorder="1"/>
    <xf numFmtId="3" fontId="26" fillId="7" borderId="122" xfId="0" applyNumberFormat="1" applyFont="1" applyFill="1" applyBorder="1" applyAlignment="1">
      <alignment vertical="center"/>
    </xf>
    <xf numFmtId="3" fontId="26" fillId="19" borderId="35" xfId="0" applyNumberFormat="1" applyFont="1" applyFill="1" applyBorder="1"/>
    <xf numFmtId="3" fontId="5" fillId="19" borderId="123" xfId="0" applyNumberFormat="1" applyFont="1" applyFill="1" applyBorder="1"/>
    <xf numFmtId="3" fontId="5" fillId="19" borderId="126" xfId="0" applyNumberFormat="1" applyFont="1" applyFill="1" applyBorder="1"/>
    <xf numFmtId="3" fontId="5" fillId="0" borderId="123" xfId="0" applyNumberFormat="1" applyFont="1" applyBorder="1"/>
    <xf numFmtId="3" fontId="5" fillId="0" borderId="124" xfId="0" applyNumberFormat="1" applyFont="1" applyBorder="1"/>
    <xf numFmtId="3" fontId="5" fillId="0" borderId="125" xfId="0" applyNumberFormat="1" applyFont="1" applyBorder="1"/>
    <xf numFmtId="3" fontId="5" fillId="2" borderId="123" xfId="0" applyNumberFormat="1" applyFont="1" applyFill="1" applyBorder="1"/>
    <xf numFmtId="3" fontId="37" fillId="7" borderId="127" xfId="0" applyNumberFormat="1" applyFont="1" applyFill="1" applyBorder="1" applyAlignment="1">
      <alignment vertical="center"/>
    </xf>
    <xf numFmtId="3" fontId="37" fillId="7" borderId="128" xfId="0" applyNumberFormat="1" applyFont="1" applyFill="1" applyBorder="1" applyAlignment="1">
      <alignment horizontal="center" vertical="center"/>
    </xf>
    <xf numFmtId="3" fontId="11" fillId="7" borderId="128" xfId="0" applyNumberFormat="1" applyFont="1" applyFill="1" applyBorder="1" applyAlignment="1">
      <alignment horizontal="center" vertical="center" wrapText="1"/>
    </xf>
    <xf numFmtId="3" fontId="2" fillId="0" borderId="129" xfId="0" applyNumberFormat="1" applyFont="1" applyBorder="1"/>
    <xf numFmtId="3" fontId="1" fillId="0" borderId="26" xfId="0" applyNumberFormat="1" applyFont="1" applyBorder="1" applyAlignment="1">
      <alignment horizontal="center"/>
    </xf>
    <xf numFmtId="3" fontId="14" fillId="21" borderId="28" xfId="0" applyNumberFormat="1" applyFont="1" applyFill="1" applyBorder="1" applyAlignment="1">
      <alignment vertical="center"/>
    </xf>
    <xf numFmtId="3" fontId="33" fillId="0" borderId="79" xfId="0" applyNumberFormat="1" applyFont="1" applyBorder="1" applyAlignment="1">
      <alignment horizontal="center" vertical="center" wrapText="1"/>
    </xf>
    <xf numFmtId="3" fontId="33" fillId="0" borderId="25" xfId="0" applyNumberFormat="1" applyFont="1" applyBorder="1" applyAlignment="1">
      <alignment horizontal="center" vertical="center" wrapText="1"/>
    </xf>
    <xf numFmtId="49" fontId="31" fillId="23" borderId="74" xfId="0" applyNumberFormat="1" applyFont="1" applyFill="1" applyBorder="1" applyAlignment="1">
      <alignment horizontal="center" vertical="center"/>
    </xf>
    <xf numFmtId="49" fontId="31" fillId="23" borderId="75" xfId="0" applyNumberFormat="1" applyFont="1" applyFill="1" applyBorder="1" applyAlignment="1">
      <alignment horizontal="center" vertical="center"/>
    </xf>
    <xf numFmtId="49" fontId="31" fillId="23" borderId="76" xfId="0" applyNumberFormat="1" applyFont="1" applyFill="1" applyBorder="1" applyAlignment="1">
      <alignment horizontal="center" vertical="center"/>
    </xf>
    <xf numFmtId="49" fontId="31" fillId="23" borderId="80" xfId="0" applyNumberFormat="1" applyFont="1" applyFill="1" applyBorder="1" applyAlignment="1">
      <alignment horizontal="center" vertical="center"/>
    </xf>
    <xf numFmtId="49" fontId="31" fillId="23" borderId="61" xfId="0" applyNumberFormat="1" applyFont="1" applyFill="1" applyBorder="1" applyAlignment="1">
      <alignment horizontal="center" vertical="center"/>
    </xf>
    <xf numFmtId="49" fontId="31" fillId="23" borderId="62" xfId="0" applyNumberFormat="1" applyFont="1" applyFill="1" applyBorder="1" applyAlignment="1">
      <alignment horizontal="center" vertical="center"/>
    </xf>
    <xf numFmtId="0" fontId="34" fillId="0" borderId="83" xfId="0" applyFont="1" applyBorder="1" applyAlignment="1">
      <alignment horizontal="center"/>
    </xf>
    <xf numFmtId="0" fontId="34" fillId="0" borderId="85" xfId="0" applyFont="1" applyBorder="1" applyAlignment="1">
      <alignment horizontal="center"/>
    </xf>
    <xf numFmtId="3" fontId="32" fillId="23" borderId="77" xfId="0" applyNumberFormat="1" applyFont="1" applyFill="1" applyBorder="1" applyAlignment="1">
      <alignment horizontal="center" vertical="center" wrapText="1"/>
    </xf>
    <xf numFmtId="3" fontId="32" fillId="23" borderId="81" xfId="0" applyNumberFormat="1" applyFont="1" applyFill="1" applyBorder="1" applyAlignment="1">
      <alignment horizontal="center" vertical="center" wrapText="1"/>
    </xf>
    <xf numFmtId="3" fontId="32" fillId="23" borderId="58" xfId="0" applyNumberFormat="1" applyFont="1" applyFill="1" applyBorder="1" applyAlignment="1">
      <alignment horizontal="center" vertical="center" wrapText="1"/>
    </xf>
    <xf numFmtId="49" fontId="35" fillId="23" borderId="84" xfId="0" applyNumberFormat="1" applyFont="1" applyFill="1" applyBorder="1" applyAlignment="1">
      <alignment horizontal="center" vertical="center" wrapText="1"/>
    </xf>
    <xf numFmtId="49" fontId="35" fillId="23" borderId="58" xfId="0" applyNumberFormat="1" applyFont="1" applyFill="1" applyBorder="1" applyAlignment="1">
      <alignment horizontal="center" vertical="center" wrapText="1"/>
    </xf>
    <xf numFmtId="0" fontId="32" fillId="23" borderId="84" xfId="0" applyFont="1" applyFill="1" applyBorder="1" applyAlignment="1">
      <alignment horizontal="center" vertical="center"/>
    </xf>
    <xf numFmtId="0" fontId="32" fillId="23" borderId="58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3" fontId="32" fillId="23" borderId="78" xfId="0" applyNumberFormat="1" applyFont="1" applyFill="1" applyBorder="1" applyAlignment="1">
      <alignment horizontal="center" vertical="center" wrapText="1"/>
    </xf>
    <xf numFmtId="3" fontId="32" fillId="23" borderId="82" xfId="0" applyNumberFormat="1" applyFont="1" applyFill="1" applyBorder="1" applyAlignment="1">
      <alignment horizontal="center" vertical="center" wrapText="1"/>
    </xf>
    <xf numFmtId="3" fontId="32" fillId="23" borderId="59" xfId="0" applyNumberFormat="1" applyFont="1" applyFill="1" applyBorder="1" applyAlignment="1">
      <alignment horizontal="center" vertical="center" wrapText="1"/>
    </xf>
    <xf numFmtId="49" fontId="10" fillId="23" borderId="55" xfId="0" applyNumberFormat="1" applyFont="1" applyFill="1" applyBorder="1" applyAlignment="1">
      <alignment horizontal="left" vertical="center"/>
    </xf>
    <xf numFmtId="49" fontId="10" fillId="23" borderId="51" xfId="0" applyNumberFormat="1" applyFont="1" applyFill="1" applyBorder="1" applyAlignment="1">
      <alignment horizontal="left" vertical="center"/>
    </xf>
    <xf numFmtId="49" fontId="10" fillId="23" borderId="1" xfId="0" applyNumberFormat="1" applyFont="1" applyFill="1" applyBorder="1" applyAlignment="1">
      <alignment horizontal="left" vertical="center"/>
    </xf>
    <xf numFmtId="49" fontId="10" fillId="23" borderId="5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2" fillId="23" borderId="5" xfId="0" applyNumberFormat="1" applyFont="1" applyFill="1" applyBorder="1" applyAlignment="1">
      <alignment horizontal="center" vertical="center"/>
    </xf>
    <xf numFmtId="0" fontId="11" fillId="23" borderId="5" xfId="0" applyFont="1" applyFill="1" applyBorder="1" applyAlignment="1">
      <alignment horizontal="center" vertical="center"/>
    </xf>
    <xf numFmtId="49" fontId="12" fillId="23" borderId="17" xfId="0" applyNumberFormat="1" applyFont="1" applyFill="1" applyBorder="1" applyAlignment="1">
      <alignment horizontal="center" vertical="center"/>
    </xf>
    <xf numFmtId="0" fontId="11" fillId="23" borderId="17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4" fillId="4" borderId="5" xfId="0" applyFont="1" applyFill="1" applyBorder="1"/>
    <xf numFmtId="0" fontId="2" fillId="0" borderId="5" xfId="0" applyFont="1" applyBorder="1"/>
    <xf numFmtId="0" fontId="14" fillId="15" borderId="5" xfId="0" applyFont="1" applyFill="1" applyBorder="1"/>
    <xf numFmtId="0" fontId="2" fillId="15" borderId="5" xfId="0" applyFont="1" applyFill="1" applyBorder="1"/>
    <xf numFmtId="0" fontId="19" fillId="0" borderId="0" xfId="0" applyFont="1"/>
    <xf numFmtId="0" fontId="2" fillId="0" borderId="0" xfId="0" applyFont="1"/>
    <xf numFmtId="3" fontId="32" fillId="23" borderId="102" xfId="0" applyNumberFormat="1" applyFont="1" applyFill="1" applyBorder="1" applyAlignment="1">
      <alignment horizontal="center" vertical="center" wrapText="1"/>
    </xf>
    <xf numFmtId="3" fontId="32" fillId="23" borderId="105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23" borderId="5" xfId="0" applyFont="1" applyFill="1" applyBorder="1" applyAlignment="1">
      <alignment horizontal="center" vertical="center" textRotation="180" wrapText="1"/>
    </xf>
    <xf numFmtId="3" fontId="32" fillId="23" borderId="99" xfId="0" applyNumberFormat="1" applyFont="1" applyFill="1" applyBorder="1" applyAlignment="1">
      <alignment horizontal="center" vertical="center" wrapText="1"/>
    </xf>
    <xf numFmtId="0" fontId="34" fillId="23" borderId="5" xfId="0" applyFont="1" applyFill="1" applyBorder="1" applyAlignment="1">
      <alignment horizontal="center" vertical="center" wrapText="1"/>
    </xf>
    <xf numFmtId="0" fontId="34" fillId="23" borderId="5" xfId="0" applyFont="1" applyFill="1" applyBorder="1" applyAlignment="1">
      <alignment horizontal="center" vertical="center"/>
    </xf>
    <xf numFmtId="3" fontId="32" fillId="23" borderId="5" xfId="0" applyNumberFormat="1" applyFont="1" applyFill="1" applyBorder="1" applyAlignment="1">
      <alignment horizontal="center" vertical="center" wrapText="1"/>
    </xf>
    <xf numFmtId="49" fontId="36" fillId="23" borderId="86" xfId="0" applyNumberFormat="1" applyFont="1" applyFill="1" applyBorder="1" applyAlignment="1">
      <alignment horizontal="center"/>
    </xf>
    <xf numFmtId="49" fontId="36" fillId="23" borderId="87" xfId="0" applyNumberFormat="1" applyFont="1" applyFill="1" applyBorder="1" applyAlignment="1">
      <alignment horizontal="center"/>
    </xf>
    <xf numFmtId="49" fontId="36" fillId="23" borderId="75" xfId="0" applyNumberFormat="1" applyFont="1" applyFill="1" applyBorder="1" applyAlignment="1">
      <alignment horizontal="center"/>
    </xf>
    <xf numFmtId="3" fontId="32" fillId="23" borderId="56" xfId="0" applyNumberFormat="1" applyFont="1" applyFill="1" applyBorder="1" applyAlignment="1">
      <alignment horizontal="center" vertical="center" wrapText="1"/>
    </xf>
    <xf numFmtId="3" fontId="32" fillId="23" borderId="20" xfId="0" applyNumberFormat="1" applyFont="1" applyFill="1" applyBorder="1" applyAlignment="1">
      <alignment horizontal="center" vertical="center" wrapText="1"/>
    </xf>
    <xf numFmtId="3" fontId="33" fillId="0" borderId="88" xfId="0" applyNumberFormat="1" applyFont="1" applyBorder="1" applyAlignment="1">
      <alignment horizontal="center" vertical="center" wrapText="1"/>
    </xf>
    <xf numFmtId="3" fontId="33" fillId="0" borderId="89" xfId="0" applyNumberFormat="1" applyFont="1" applyBorder="1" applyAlignment="1">
      <alignment horizontal="center" vertical="center" wrapText="1"/>
    </xf>
    <xf numFmtId="3" fontId="33" fillId="0" borderId="90" xfId="0" applyNumberFormat="1" applyFont="1" applyBorder="1" applyAlignment="1">
      <alignment horizontal="center" vertical="center" wrapText="1"/>
    </xf>
    <xf numFmtId="3" fontId="33" fillId="0" borderId="67" xfId="0" applyNumberFormat="1" applyFont="1" applyBorder="1" applyAlignment="1">
      <alignment horizontal="center" vertical="center" wrapText="1"/>
    </xf>
    <xf numFmtId="3" fontId="33" fillId="0" borderId="100" xfId="0" applyNumberFormat="1" applyFont="1" applyBorder="1" applyAlignment="1">
      <alignment horizontal="center" vertical="center" wrapText="1"/>
    </xf>
    <xf numFmtId="3" fontId="33" fillId="0" borderId="101" xfId="0" applyNumberFormat="1" applyFont="1" applyBorder="1" applyAlignment="1">
      <alignment horizontal="center" vertical="center" wrapText="1"/>
    </xf>
    <xf numFmtId="3" fontId="33" fillId="0" borderId="103" xfId="0" applyNumberFormat="1" applyFont="1" applyBorder="1" applyAlignment="1">
      <alignment horizontal="center" vertical="center" wrapText="1"/>
    </xf>
    <xf numFmtId="3" fontId="33" fillId="0" borderId="104" xfId="0" applyNumberFormat="1" applyFont="1" applyBorder="1" applyAlignment="1">
      <alignment horizontal="center" vertical="center" wrapText="1"/>
    </xf>
    <xf numFmtId="0" fontId="24" fillId="4" borderId="30" xfId="0" applyFont="1" applyFill="1" applyBorder="1"/>
    <xf numFmtId="0" fontId="2" fillId="0" borderId="30" xfId="0" applyFont="1" applyBorder="1"/>
    <xf numFmtId="0" fontId="24" fillId="4" borderId="39" xfId="0" applyFont="1" applyFill="1" applyBorder="1"/>
    <xf numFmtId="0" fontId="2" fillId="0" borderId="39" xfId="0" applyFont="1" applyBorder="1"/>
    <xf numFmtId="0" fontId="27" fillId="4" borderId="5" xfId="0" applyFont="1" applyFill="1" applyBorder="1"/>
    <xf numFmtId="0" fontId="28" fillId="0" borderId="5" xfId="0" applyFont="1" applyBorder="1"/>
    <xf numFmtId="0" fontId="24" fillId="4" borderId="24" xfId="0" applyFont="1" applyFill="1" applyBorder="1"/>
    <xf numFmtId="0" fontId="2" fillId="0" borderId="24" xfId="0" applyFont="1" applyBorder="1"/>
    <xf numFmtId="0" fontId="19" fillId="0" borderId="57" xfId="0" applyFont="1" applyBorder="1"/>
    <xf numFmtId="0" fontId="2" fillId="0" borderId="58" xfId="0" applyFont="1" applyBorder="1"/>
    <xf numFmtId="0" fontId="2" fillId="0" borderId="59" xfId="0" applyFont="1" applyBorder="1"/>
    <xf numFmtId="0" fontId="23" fillId="3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6" fillId="15" borderId="5" xfId="0" applyFont="1" applyFill="1" applyBorder="1"/>
    <xf numFmtId="0" fontId="24" fillId="4" borderId="19" xfId="0" applyFont="1" applyFill="1" applyBorder="1"/>
    <xf numFmtId="0" fontId="2" fillId="0" borderId="19" xfId="0" applyFont="1" applyBorder="1"/>
    <xf numFmtId="0" fontId="24" fillId="4" borderId="4" xfId="0" applyFont="1" applyFill="1" applyBorder="1"/>
    <xf numFmtId="0" fontId="2" fillId="0" borderId="4" xfId="0" applyFont="1" applyBorder="1"/>
    <xf numFmtId="0" fontId="24" fillId="24" borderId="60" xfId="0" applyFont="1" applyFill="1" applyBorder="1"/>
    <xf numFmtId="0" fontId="2" fillId="24" borderId="61" xfId="0" applyFont="1" applyFill="1" applyBorder="1"/>
    <xf numFmtId="0" fontId="2" fillId="24" borderId="62" xfId="0" applyFont="1" applyFill="1" applyBorder="1"/>
    <xf numFmtId="0" fontId="24" fillId="24" borderId="34" xfId="0" applyFont="1" applyFill="1" applyBorder="1"/>
    <xf numFmtId="0" fontId="2" fillId="0" borderId="35" xfId="0" applyFont="1" applyBorder="1"/>
    <xf numFmtId="0" fontId="2" fillId="0" borderId="63" xfId="0" applyFont="1" applyBorder="1"/>
    <xf numFmtId="0" fontId="14" fillId="14" borderId="5" xfId="0" applyFont="1" applyFill="1" applyBorder="1"/>
    <xf numFmtId="0" fontId="2" fillId="14" borderId="5" xfId="0" applyFont="1" applyFill="1" applyBorder="1"/>
    <xf numFmtId="0" fontId="21" fillId="3" borderId="5" xfId="0" applyFont="1" applyFill="1" applyBorder="1" applyAlignment="1">
      <alignment vertical="center"/>
    </xf>
    <xf numFmtId="0" fontId="22" fillId="0" borderId="5" xfId="0" applyFont="1" applyBorder="1" applyAlignment="1">
      <alignment vertical="center"/>
    </xf>
    <xf numFmtId="3" fontId="24" fillId="7" borderId="91" xfId="0" applyNumberFormat="1" applyFont="1" applyFill="1" applyBorder="1" applyAlignment="1">
      <alignment horizontal="center"/>
    </xf>
    <xf numFmtId="3" fontId="24" fillId="7" borderId="61" xfId="0" applyNumberFormat="1" applyFont="1" applyFill="1" applyBorder="1" applyAlignment="1">
      <alignment horizontal="center"/>
    </xf>
    <xf numFmtId="3" fontId="24" fillId="7" borderId="92" xfId="0" applyNumberFormat="1" applyFont="1" applyFill="1" applyBorder="1" applyAlignment="1">
      <alignment horizontal="center"/>
    </xf>
    <xf numFmtId="3" fontId="9" fillId="2" borderId="34" xfId="0" applyNumberFormat="1" applyFont="1" applyFill="1" applyBorder="1"/>
    <xf numFmtId="3" fontId="9" fillId="2" borderId="35" xfId="0" applyNumberFormat="1" applyFont="1" applyFill="1" applyBorder="1"/>
    <xf numFmtId="3" fontId="9" fillId="0" borderId="35" xfId="0" applyNumberFormat="1" applyFont="1" applyBorder="1"/>
    <xf numFmtId="3" fontId="14" fillId="19" borderId="24" xfId="0" applyNumberFormat="1" applyFont="1" applyFill="1" applyBorder="1"/>
    <xf numFmtId="3" fontId="26" fillId="19" borderId="24" xfId="0" applyNumberFormat="1" applyFont="1" applyFill="1" applyBorder="1"/>
    <xf numFmtId="3" fontId="26" fillId="19" borderId="34" xfId="0" applyNumberFormat="1" applyFont="1" applyFill="1" applyBorder="1"/>
    <xf numFmtId="3" fontId="14" fillId="7" borderId="117" xfId="0" applyNumberFormat="1" applyFont="1" applyFill="1" applyBorder="1" applyAlignment="1">
      <alignment vertical="center"/>
    </xf>
    <xf numFmtId="3" fontId="14" fillId="7" borderId="122" xfId="0" applyNumberFormat="1" applyFont="1" applyFill="1" applyBorder="1" applyAlignment="1">
      <alignment vertical="center"/>
    </xf>
    <xf numFmtId="3" fontId="26" fillId="7" borderId="122" xfId="0" applyNumberFormat="1" applyFont="1" applyFill="1" applyBorder="1" applyAlignment="1">
      <alignment vertical="center"/>
    </xf>
    <xf numFmtId="3" fontId="14" fillId="19" borderId="120" xfId="0" applyNumberFormat="1" applyFont="1" applyFill="1" applyBorder="1"/>
    <xf numFmtId="3" fontId="14" fillId="19" borderId="121" xfId="0" applyNumberFormat="1" applyFont="1" applyFill="1" applyBorder="1"/>
    <xf numFmtId="3" fontId="26" fillId="19" borderId="121" xfId="0" applyNumberFormat="1" applyFont="1" applyFill="1" applyBorder="1"/>
    <xf numFmtId="3" fontId="9" fillId="2" borderId="113" xfId="0" applyNumberFormat="1" applyFont="1" applyFill="1" applyBorder="1"/>
    <xf numFmtId="3" fontId="9" fillId="2" borderId="114" xfId="0" applyNumberFormat="1" applyFont="1" applyFill="1" applyBorder="1"/>
    <xf numFmtId="3" fontId="9" fillId="0" borderId="114" xfId="0" applyNumberFormat="1" applyFont="1" applyBorder="1"/>
  </cellXfs>
  <cellStyles count="7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  <cellStyle name="Normálna 4" xfId="4" xr:uid="{00000000-0005-0000-0000-000004000000}"/>
    <cellStyle name="Normálne 2" xfId="5" xr:uid="{00000000-0005-0000-0000-000005000000}"/>
    <cellStyle name="normálne_Kalkulácia MHD TN 1 -12 2010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H398"/>
  <sheetViews>
    <sheetView tabSelected="1" zoomScaleNormal="100" workbookViewId="0"/>
  </sheetViews>
  <sheetFormatPr defaultRowHeight="12.75" x14ac:dyDescent="0.2"/>
  <cols>
    <col min="1" max="1" width="9.28515625" style="1" customWidth="1"/>
    <col min="2" max="2" width="4" style="12" customWidth="1"/>
    <col min="3" max="3" width="9.42578125" style="1" customWidth="1"/>
    <col min="4" max="4" width="49" style="1" customWidth="1"/>
    <col min="5" max="5" width="14.42578125" style="14" customWidth="1"/>
    <col min="6" max="6" width="13" style="14" customWidth="1"/>
    <col min="7" max="7" width="6.85546875" style="14" customWidth="1"/>
    <col min="8" max="8" width="11.42578125" style="14" customWidth="1"/>
    <col min="9" max="16384" width="9.140625" style="1"/>
  </cols>
  <sheetData>
    <row r="1" spans="2:8" x14ac:dyDescent="0.2">
      <c r="E1" s="13"/>
    </row>
    <row r="2" spans="2:8" ht="70.5" customHeight="1" x14ac:dyDescent="0.2">
      <c r="B2" s="479" t="s">
        <v>736</v>
      </c>
      <c r="C2" s="479"/>
      <c r="D2" s="479"/>
      <c r="E2" s="479"/>
      <c r="F2" s="479"/>
      <c r="G2" s="479"/>
    </row>
    <row r="3" spans="2:8" ht="15" customHeight="1" x14ac:dyDescent="0.2">
      <c r="B3" s="464" t="s">
        <v>737</v>
      </c>
      <c r="C3" s="465"/>
      <c r="D3" s="466"/>
      <c r="E3" s="472" t="s">
        <v>740</v>
      </c>
      <c r="F3" s="480" t="s">
        <v>739</v>
      </c>
      <c r="G3" s="462" t="s">
        <v>738</v>
      </c>
    </row>
    <row r="4" spans="2:8" ht="12.75" customHeight="1" x14ac:dyDescent="0.2">
      <c r="B4" s="467"/>
      <c r="C4" s="468"/>
      <c r="D4" s="469"/>
      <c r="E4" s="473"/>
      <c r="F4" s="481"/>
      <c r="G4" s="463"/>
    </row>
    <row r="5" spans="2:8" ht="12.75" customHeight="1" x14ac:dyDescent="0.2">
      <c r="B5" s="470" t="s">
        <v>110</v>
      </c>
      <c r="C5" s="475" t="s">
        <v>312</v>
      </c>
      <c r="D5" s="477" t="s">
        <v>111</v>
      </c>
      <c r="E5" s="473"/>
      <c r="F5" s="481"/>
      <c r="G5" s="463"/>
    </row>
    <row r="6" spans="2:8" ht="3.75" customHeight="1" x14ac:dyDescent="0.2">
      <c r="B6" s="471"/>
      <c r="C6" s="476"/>
      <c r="D6" s="478"/>
      <c r="E6" s="474"/>
      <c r="F6" s="482"/>
      <c r="G6" s="463"/>
    </row>
    <row r="7" spans="2:8" ht="16.5" thickBot="1" x14ac:dyDescent="0.3">
      <c r="B7" s="15">
        <v>1</v>
      </c>
      <c r="C7" s="16">
        <v>100</v>
      </c>
      <c r="D7" s="16" t="s">
        <v>249</v>
      </c>
      <c r="E7" s="17">
        <f>E8</f>
        <v>43088319</v>
      </c>
      <c r="F7" s="17">
        <f t="shared" ref="F7" si="0">F8</f>
        <v>42587298</v>
      </c>
      <c r="G7" s="360"/>
    </row>
    <row r="8" spans="2:8" s="22" customFormat="1" ht="15.75" thickBot="1" x14ac:dyDescent="0.25">
      <c r="B8" s="18">
        <f>B7+1</f>
        <v>2</v>
      </c>
      <c r="C8" s="19"/>
      <c r="D8" s="19" t="s">
        <v>38</v>
      </c>
      <c r="E8" s="20">
        <f>E9+E11+E16</f>
        <v>43088319</v>
      </c>
      <c r="F8" s="20">
        <f t="shared" ref="F8" si="1">F9+F11+F16</f>
        <v>42587298</v>
      </c>
      <c r="G8" s="361">
        <f>F8/E8*100</f>
        <v>98.837223146254559</v>
      </c>
      <c r="H8" s="21"/>
    </row>
    <row r="9" spans="2:8" x14ac:dyDescent="0.2">
      <c r="B9" s="15">
        <f>B8+1</f>
        <v>3</v>
      </c>
      <c r="C9" s="301">
        <v>110</v>
      </c>
      <c r="D9" s="23" t="s">
        <v>250</v>
      </c>
      <c r="E9" s="24">
        <f>E10</f>
        <v>27843319</v>
      </c>
      <c r="F9" s="24">
        <f t="shared" ref="F9" si="2">F10</f>
        <v>27598443</v>
      </c>
      <c r="G9" s="361">
        <f t="shared" ref="G9:G79" si="3">F9/E9*100</f>
        <v>99.120521515412733</v>
      </c>
    </row>
    <row r="10" spans="2:8" x14ac:dyDescent="0.2">
      <c r="B10" s="15">
        <f t="shared" ref="B10:B80" si="4">B9+1</f>
        <v>4</v>
      </c>
      <c r="C10" s="306">
        <v>111003</v>
      </c>
      <c r="D10" s="6" t="s">
        <v>248</v>
      </c>
      <c r="E10" s="7">
        <f>28100000+263000-519681</f>
        <v>27843319</v>
      </c>
      <c r="F10" s="7">
        <v>27598443</v>
      </c>
      <c r="G10" s="361">
        <f t="shared" si="3"/>
        <v>99.120521515412733</v>
      </c>
    </row>
    <row r="11" spans="2:8" x14ac:dyDescent="0.2">
      <c r="B11" s="15">
        <f t="shared" si="4"/>
        <v>5</v>
      </c>
      <c r="C11" s="302">
        <v>120</v>
      </c>
      <c r="D11" s="25" t="s">
        <v>252</v>
      </c>
      <c r="E11" s="26">
        <f>E12</f>
        <v>11600000</v>
      </c>
      <c r="F11" s="26">
        <f t="shared" ref="F11" si="5">F12</f>
        <v>11342789</v>
      </c>
      <c r="G11" s="361">
        <f t="shared" si="3"/>
        <v>97.782663793103453</v>
      </c>
    </row>
    <row r="12" spans="2:8" x14ac:dyDescent="0.2">
      <c r="B12" s="15">
        <f t="shared" si="4"/>
        <v>6</v>
      </c>
      <c r="C12" s="303"/>
      <c r="D12" s="3" t="s">
        <v>308</v>
      </c>
      <c r="E12" s="4">
        <f>SUM(E13:E15)</f>
        <v>11600000</v>
      </c>
      <c r="F12" s="4">
        <f t="shared" ref="F12" si="6">SUM(F13:F15)</f>
        <v>11342789</v>
      </c>
      <c r="G12" s="361">
        <f t="shared" si="3"/>
        <v>97.782663793103453</v>
      </c>
    </row>
    <row r="13" spans="2:8" x14ac:dyDescent="0.2">
      <c r="B13" s="15">
        <f t="shared" si="4"/>
        <v>7</v>
      </c>
      <c r="C13" s="306">
        <v>121001</v>
      </c>
      <c r="D13" s="6" t="s">
        <v>251</v>
      </c>
      <c r="E13" s="7">
        <v>1225000</v>
      </c>
      <c r="F13" s="7">
        <v>1168188</v>
      </c>
      <c r="G13" s="361">
        <f t="shared" si="3"/>
        <v>95.362285714285704</v>
      </c>
    </row>
    <row r="14" spans="2:8" x14ac:dyDescent="0.2">
      <c r="B14" s="15">
        <f t="shared" si="4"/>
        <v>8</v>
      </c>
      <c r="C14" s="306">
        <v>121002</v>
      </c>
      <c r="D14" s="6" t="s">
        <v>253</v>
      </c>
      <c r="E14" s="7">
        <v>9040000</v>
      </c>
      <c r="F14" s="7">
        <v>8977014</v>
      </c>
      <c r="G14" s="361">
        <f t="shared" si="3"/>
        <v>99.303252212389381</v>
      </c>
    </row>
    <row r="15" spans="2:8" x14ac:dyDescent="0.2">
      <c r="B15" s="15">
        <f t="shared" si="4"/>
        <v>9</v>
      </c>
      <c r="C15" s="306">
        <v>121003</v>
      </c>
      <c r="D15" s="6" t="s">
        <v>254</v>
      </c>
      <c r="E15" s="7">
        <v>1335000</v>
      </c>
      <c r="F15" s="7">
        <v>1197587</v>
      </c>
      <c r="G15" s="361">
        <f t="shared" si="3"/>
        <v>89.70689138576779</v>
      </c>
    </row>
    <row r="16" spans="2:8" x14ac:dyDescent="0.2">
      <c r="B16" s="15">
        <f t="shared" si="4"/>
        <v>10</v>
      </c>
      <c r="C16" s="302">
        <v>130</v>
      </c>
      <c r="D16" s="25" t="s">
        <v>255</v>
      </c>
      <c r="E16" s="26">
        <f>SUM(E17:E20)</f>
        <v>3645000</v>
      </c>
      <c r="F16" s="26">
        <f>SUM(F17:F21)</f>
        <v>3646066</v>
      </c>
      <c r="G16" s="361">
        <f t="shared" si="3"/>
        <v>100.02924554183814</v>
      </c>
    </row>
    <row r="17" spans="2:7" x14ac:dyDescent="0.2">
      <c r="B17" s="15">
        <f t="shared" si="4"/>
        <v>11</v>
      </c>
      <c r="C17" s="306">
        <v>133001</v>
      </c>
      <c r="D17" s="6" t="s">
        <v>304</v>
      </c>
      <c r="E17" s="7">
        <v>65000</v>
      </c>
      <c r="F17" s="7">
        <v>61166</v>
      </c>
      <c r="G17" s="361">
        <f t="shared" si="3"/>
        <v>94.101538461538453</v>
      </c>
    </row>
    <row r="18" spans="2:7" x14ac:dyDescent="0.2">
      <c r="B18" s="15">
        <f t="shared" si="4"/>
        <v>12</v>
      </c>
      <c r="C18" s="306">
        <v>133006</v>
      </c>
      <c r="D18" s="6" t="s">
        <v>305</v>
      </c>
      <c r="E18" s="7">
        <v>200000</v>
      </c>
      <c r="F18" s="7">
        <v>184860</v>
      </c>
      <c r="G18" s="361">
        <f t="shared" si="3"/>
        <v>92.43</v>
      </c>
    </row>
    <row r="19" spans="2:7" x14ac:dyDescent="0.2">
      <c r="B19" s="15">
        <f t="shared" si="4"/>
        <v>13</v>
      </c>
      <c r="C19" s="307">
        <v>133012</v>
      </c>
      <c r="D19" s="27" t="s">
        <v>306</v>
      </c>
      <c r="E19" s="28">
        <v>80000</v>
      </c>
      <c r="F19" s="28">
        <v>52391</v>
      </c>
      <c r="G19" s="361">
        <f t="shared" si="3"/>
        <v>65.488749999999996</v>
      </c>
    </row>
    <row r="20" spans="2:7" x14ac:dyDescent="0.2">
      <c r="B20" s="15">
        <f t="shared" si="4"/>
        <v>14</v>
      </c>
      <c r="C20" s="308">
        <v>133013</v>
      </c>
      <c r="D20" s="29" t="s">
        <v>307</v>
      </c>
      <c r="E20" s="30">
        <f>3550000-250000</f>
        <v>3300000</v>
      </c>
      <c r="F20" s="30">
        <v>3248099</v>
      </c>
      <c r="G20" s="361">
        <f t="shared" si="3"/>
        <v>98.427242424242422</v>
      </c>
    </row>
    <row r="21" spans="2:7" x14ac:dyDescent="0.2">
      <c r="B21" s="15">
        <f t="shared" si="4"/>
        <v>15</v>
      </c>
      <c r="C21" s="311">
        <v>133015</v>
      </c>
      <c r="D21" s="39" t="s">
        <v>748</v>
      </c>
      <c r="E21" s="40">
        <v>0</v>
      </c>
      <c r="F21" s="40">
        <v>99550</v>
      </c>
      <c r="G21" s="361">
        <v>0</v>
      </c>
    </row>
    <row r="22" spans="2:7" ht="16.5" thickBot="1" x14ac:dyDescent="0.3">
      <c r="B22" s="15">
        <f t="shared" si="4"/>
        <v>16</v>
      </c>
      <c r="C22" s="304">
        <v>200</v>
      </c>
      <c r="D22" s="31" t="s">
        <v>162</v>
      </c>
      <c r="E22" s="32">
        <f>E267+E259+E249+E241+E231+E221+E215+E207+E198+E160+E95+E90+E49+E46+E23</f>
        <v>10014413</v>
      </c>
      <c r="F22" s="32">
        <f t="shared" ref="F22" si="7">F267+F259+F249+F241+F231+F221+F215+F207+F198+F160+F95+F90+F49+F46+F23</f>
        <v>9601646</v>
      </c>
      <c r="G22" s="361">
        <f t="shared" si="3"/>
        <v>95.878270648514302</v>
      </c>
    </row>
    <row r="23" spans="2:7" ht="15.75" thickBot="1" x14ac:dyDescent="0.3">
      <c r="B23" s="15">
        <f t="shared" si="4"/>
        <v>17</v>
      </c>
      <c r="C23" s="305"/>
      <c r="D23" s="33" t="s">
        <v>38</v>
      </c>
      <c r="E23" s="34">
        <f>E24+E29+E37+E40</f>
        <v>4503090</v>
      </c>
      <c r="F23" s="34">
        <f t="shared" ref="F23" si="8">F24+F29+F37+F40</f>
        <v>4455954</v>
      </c>
      <c r="G23" s="361">
        <f t="shared" si="3"/>
        <v>98.953252100224503</v>
      </c>
    </row>
    <row r="24" spans="2:7" x14ac:dyDescent="0.2">
      <c r="B24" s="15">
        <f t="shared" si="4"/>
        <v>18</v>
      </c>
      <c r="C24" s="309">
        <v>210</v>
      </c>
      <c r="D24" s="35" t="s">
        <v>235</v>
      </c>
      <c r="E24" s="36">
        <f>SUM(E25:E27)</f>
        <v>990090</v>
      </c>
      <c r="F24" s="36">
        <f>SUM(F25:F28)</f>
        <v>808912</v>
      </c>
      <c r="G24" s="361">
        <f t="shared" si="3"/>
        <v>81.700855477784856</v>
      </c>
    </row>
    <row r="25" spans="2:7" x14ac:dyDescent="0.2">
      <c r="B25" s="15">
        <f t="shared" si="4"/>
        <v>19</v>
      </c>
      <c r="C25" s="308">
        <v>212002</v>
      </c>
      <c r="D25" s="29" t="s">
        <v>256</v>
      </c>
      <c r="E25" s="30">
        <v>156500</v>
      </c>
      <c r="F25" s="30">
        <f>142933</f>
        <v>142933</v>
      </c>
      <c r="G25" s="361">
        <f t="shared" si="3"/>
        <v>91.330990415335464</v>
      </c>
    </row>
    <row r="26" spans="2:7" x14ac:dyDescent="0.2">
      <c r="B26" s="15">
        <f t="shared" si="4"/>
        <v>20</v>
      </c>
      <c r="C26" s="308">
        <v>212003</v>
      </c>
      <c r="D26" s="29" t="s">
        <v>236</v>
      </c>
      <c r="E26" s="30">
        <f>673590+28000</f>
        <v>701590</v>
      </c>
      <c r="F26" s="30">
        <f>665432-F27-1</f>
        <v>612392</v>
      </c>
      <c r="G26" s="361">
        <f t="shared" si="3"/>
        <v>87.28630681737198</v>
      </c>
    </row>
    <row r="27" spans="2:7" x14ac:dyDescent="0.2">
      <c r="B27" s="15">
        <f t="shared" si="4"/>
        <v>21</v>
      </c>
      <c r="C27" s="308">
        <v>212003</v>
      </c>
      <c r="D27" s="29" t="s">
        <v>443</v>
      </c>
      <c r="E27" s="30">
        <v>132000</v>
      </c>
      <c r="F27" s="30">
        <f>2395+49119+1440+85</f>
        <v>53039</v>
      </c>
      <c r="G27" s="361">
        <f t="shared" si="3"/>
        <v>40.181060606060605</v>
      </c>
    </row>
    <row r="28" spans="2:7" x14ac:dyDescent="0.2">
      <c r="B28" s="15">
        <f t="shared" si="4"/>
        <v>22</v>
      </c>
      <c r="C28" s="308">
        <v>212004</v>
      </c>
      <c r="D28" s="29" t="s">
        <v>237</v>
      </c>
      <c r="E28" s="30">
        <v>0</v>
      </c>
      <c r="F28" s="30">
        <v>548</v>
      </c>
      <c r="G28" s="361">
        <v>0</v>
      </c>
    </row>
    <row r="29" spans="2:7" x14ac:dyDescent="0.2">
      <c r="B29" s="15">
        <f t="shared" si="4"/>
        <v>23</v>
      </c>
      <c r="C29" s="310">
        <v>220</v>
      </c>
      <c r="D29" s="37" t="s">
        <v>210</v>
      </c>
      <c r="E29" s="38">
        <f>SUM(E30:E36)</f>
        <v>3022700</v>
      </c>
      <c r="F29" s="38">
        <f t="shared" ref="F29" si="9">SUM(F30:F36)</f>
        <v>3007651</v>
      </c>
      <c r="G29" s="361">
        <f t="shared" si="3"/>
        <v>99.502133853839283</v>
      </c>
    </row>
    <row r="30" spans="2:7" x14ac:dyDescent="0.2">
      <c r="B30" s="15">
        <f t="shared" si="4"/>
        <v>24</v>
      </c>
      <c r="C30" s="308">
        <v>221004</v>
      </c>
      <c r="D30" s="29" t="s">
        <v>211</v>
      </c>
      <c r="E30" s="30">
        <v>230000</v>
      </c>
      <c r="F30" s="30">
        <v>214890</v>
      </c>
      <c r="G30" s="361">
        <f t="shared" si="3"/>
        <v>93.4304347826087</v>
      </c>
    </row>
    <row r="31" spans="2:7" x14ac:dyDescent="0.2">
      <c r="B31" s="15">
        <f t="shared" si="4"/>
        <v>25</v>
      </c>
      <c r="C31" s="308">
        <v>222003</v>
      </c>
      <c r="D31" s="29" t="s">
        <v>54</v>
      </c>
      <c r="E31" s="30">
        <v>120000</v>
      </c>
      <c r="F31" s="30">
        <v>158104</v>
      </c>
      <c r="G31" s="361">
        <f t="shared" si="3"/>
        <v>131.75333333333333</v>
      </c>
    </row>
    <row r="32" spans="2:7" x14ac:dyDescent="0.2">
      <c r="B32" s="15">
        <f t="shared" si="4"/>
        <v>26</v>
      </c>
      <c r="C32" s="308">
        <v>223001</v>
      </c>
      <c r="D32" s="29" t="s">
        <v>238</v>
      </c>
      <c r="E32" s="30">
        <v>1200</v>
      </c>
      <c r="F32" s="30">
        <f>4455+2</f>
        <v>4457</v>
      </c>
      <c r="G32" s="361">
        <f t="shared" si="3"/>
        <v>371.41666666666669</v>
      </c>
    </row>
    <row r="33" spans="2:7" x14ac:dyDescent="0.2">
      <c r="B33" s="15">
        <f t="shared" si="4"/>
        <v>27</v>
      </c>
      <c r="C33" s="308">
        <v>223001</v>
      </c>
      <c r="D33" s="29" t="s">
        <v>309</v>
      </c>
      <c r="E33" s="30">
        <f>2400000+97000</f>
        <v>2497000</v>
      </c>
      <c r="F33" s="30">
        <v>2507064</v>
      </c>
      <c r="G33" s="361">
        <f t="shared" si="3"/>
        <v>100.40304365238286</v>
      </c>
    </row>
    <row r="34" spans="2:7" x14ac:dyDescent="0.2">
      <c r="B34" s="15">
        <f t="shared" si="4"/>
        <v>28</v>
      </c>
      <c r="C34" s="308">
        <v>223001</v>
      </c>
      <c r="D34" s="29" t="s">
        <v>310</v>
      </c>
      <c r="E34" s="30">
        <v>28000</v>
      </c>
      <c r="F34" s="30">
        <f>15305+16876</f>
        <v>32181</v>
      </c>
      <c r="G34" s="361">
        <f t="shared" si="3"/>
        <v>114.93214285714286</v>
      </c>
    </row>
    <row r="35" spans="2:7" x14ac:dyDescent="0.2">
      <c r="B35" s="15">
        <f t="shared" si="4"/>
        <v>29</v>
      </c>
      <c r="C35" s="308">
        <v>223001</v>
      </c>
      <c r="D35" s="29" t="s">
        <v>416</v>
      </c>
      <c r="E35" s="30">
        <v>146000</v>
      </c>
      <c r="F35" s="30">
        <v>90895</v>
      </c>
      <c r="G35" s="361">
        <f t="shared" si="3"/>
        <v>62.256849315068493</v>
      </c>
    </row>
    <row r="36" spans="2:7" x14ac:dyDescent="0.2">
      <c r="B36" s="15">
        <f t="shared" si="4"/>
        <v>30</v>
      </c>
      <c r="C36" s="308">
        <v>229005</v>
      </c>
      <c r="D36" s="29" t="s">
        <v>247</v>
      </c>
      <c r="E36" s="30">
        <v>500</v>
      </c>
      <c r="F36" s="30">
        <v>60</v>
      </c>
      <c r="G36" s="361">
        <f t="shared" si="3"/>
        <v>12</v>
      </c>
    </row>
    <row r="37" spans="2:7" x14ac:dyDescent="0.2">
      <c r="B37" s="15">
        <f t="shared" si="4"/>
        <v>31</v>
      </c>
      <c r="C37" s="310">
        <v>240</v>
      </c>
      <c r="D37" s="37" t="s">
        <v>166</v>
      </c>
      <c r="E37" s="38">
        <f>E38+E39</f>
        <v>140300</v>
      </c>
      <c r="F37" s="38">
        <f t="shared" ref="F37" si="10">F38+F39</f>
        <v>169265</v>
      </c>
      <c r="G37" s="361">
        <f t="shared" si="3"/>
        <v>120.64504632929436</v>
      </c>
    </row>
    <row r="38" spans="2:7" x14ac:dyDescent="0.2">
      <c r="B38" s="15">
        <f t="shared" si="4"/>
        <v>32</v>
      </c>
      <c r="C38" s="308">
        <v>242</v>
      </c>
      <c r="D38" s="29" t="s">
        <v>165</v>
      </c>
      <c r="E38" s="30">
        <v>1000</v>
      </c>
      <c r="F38" s="30">
        <v>0</v>
      </c>
      <c r="G38" s="361">
        <f t="shared" si="3"/>
        <v>0</v>
      </c>
    </row>
    <row r="39" spans="2:7" x14ac:dyDescent="0.2">
      <c r="B39" s="15">
        <f t="shared" si="4"/>
        <v>33</v>
      </c>
      <c r="C39" s="308">
        <v>244</v>
      </c>
      <c r="D39" s="29" t="s">
        <v>453</v>
      </c>
      <c r="E39" s="30">
        <f>49000+60000+30300</f>
        <v>139300</v>
      </c>
      <c r="F39" s="30">
        <v>169265</v>
      </c>
      <c r="G39" s="361">
        <f t="shared" si="3"/>
        <v>121.51112706389088</v>
      </c>
    </row>
    <row r="40" spans="2:7" x14ac:dyDescent="0.2">
      <c r="B40" s="15">
        <f t="shared" si="4"/>
        <v>34</v>
      </c>
      <c r="C40" s="310">
        <v>290</v>
      </c>
      <c r="D40" s="37" t="s">
        <v>168</v>
      </c>
      <c r="E40" s="38">
        <f>SUM(E42:E45)</f>
        <v>350000</v>
      </c>
      <c r="F40" s="38">
        <f>SUM(F41:F45)</f>
        <v>470126</v>
      </c>
      <c r="G40" s="361">
        <f t="shared" si="3"/>
        <v>134.32171428571428</v>
      </c>
    </row>
    <row r="41" spans="2:7" x14ac:dyDescent="0.2">
      <c r="B41" s="15">
        <f t="shared" si="4"/>
        <v>35</v>
      </c>
      <c r="C41" s="308">
        <v>292006</v>
      </c>
      <c r="D41" s="29" t="s">
        <v>167</v>
      </c>
      <c r="E41" s="30">
        <v>0</v>
      </c>
      <c r="F41" s="30">
        <v>3080</v>
      </c>
      <c r="G41" s="361">
        <v>0</v>
      </c>
    </row>
    <row r="42" spans="2:7" x14ac:dyDescent="0.2">
      <c r="B42" s="15">
        <f t="shared" si="4"/>
        <v>36</v>
      </c>
      <c r="C42" s="308">
        <v>292008</v>
      </c>
      <c r="D42" s="29" t="s">
        <v>169</v>
      </c>
      <c r="E42" s="30">
        <v>150000</v>
      </c>
      <c r="F42" s="30">
        <v>212329</v>
      </c>
      <c r="G42" s="361">
        <f t="shared" si="3"/>
        <v>141.55266666666665</v>
      </c>
    </row>
    <row r="43" spans="2:7" x14ac:dyDescent="0.2">
      <c r="B43" s="15">
        <f t="shared" si="4"/>
        <v>37</v>
      </c>
      <c r="C43" s="311">
        <v>292012</v>
      </c>
      <c r="D43" s="39" t="s">
        <v>220</v>
      </c>
      <c r="E43" s="40">
        <v>0</v>
      </c>
      <c r="F43" s="40">
        <v>151914</v>
      </c>
      <c r="G43" s="361">
        <v>0</v>
      </c>
    </row>
    <row r="44" spans="2:7" x14ac:dyDescent="0.2">
      <c r="B44" s="15">
        <f t="shared" si="4"/>
        <v>38</v>
      </c>
      <c r="C44" s="311">
        <v>292017</v>
      </c>
      <c r="D44" s="39" t="s">
        <v>221</v>
      </c>
      <c r="E44" s="40">
        <v>0</v>
      </c>
      <c r="F44" s="40">
        <v>73047</v>
      </c>
      <c r="G44" s="361">
        <v>0</v>
      </c>
    </row>
    <row r="45" spans="2:7" ht="13.5" thickBot="1" x14ac:dyDescent="0.25">
      <c r="B45" s="15">
        <f t="shared" si="4"/>
        <v>39</v>
      </c>
      <c r="C45" s="311">
        <v>292027</v>
      </c>
      <c r="D45" s="39" t="s">
        <v>311</v>
      </c>
      <c r="E45" s="40">
        <v>200000</v>
      </c>
      <c r="F45" s="40">
        <v>29756</v>
      </c>
      <c r="G45" s="361">
        <f t="shared" si="3"/>
        <v>14.878</v>
      </c>
    </row>
    <row r="46" spans="2:7" ht="15.75" thickBot="1" x14ac:dyDescent="0.3">
      <c r="B46" s="15">
        <f t="shared" si="4"/>
        <v>40</v>
      </c>
      <c r="C46" s="312">
        <v>1</v>
      </c>
      <c r="D46" s="33" t="s">
        <v>48</v>
      </c>
      <c r="E46" s="34">
        <f>E47</f>
        <v>32200</v>
      </c>
      <c r="F46" s="34">
        <f t="shared" ref="F46:F47" si="11">F47</f>
        <v>42524</v>
      </c>
      <c r="G46" s="361">
        <f t="shared" si="3"/>
        <v>132.06211180124222</v>
      </c>
    </row>
    <row r="47" spans="2:7" x14ac:dyDescent="0.2">
      <c r="B47" s="15">
        <f t="shared" si="4"/>
        <v>41</v>
      </c>
      <c r="C47" s="309">
        <v>220</v>
      </c>
      <c r="D47" s="35" t="s">
        <v>210</v>
      </c>
      <c r="E47" s="36">
        <f>E48</f>
        <v>32200</v>
      </c>
      <c r="F47" s="36">
        <f t="shared" si="11"/>
        <v>42524</v>
      </c>
      <c r="G47" s="361">
        <f t="shared" si="3"/>
        <v>132.06211180124222</v>
      </c>
    </row>
    <row r="48" spans="2:7" ht="13.5" thickBot="1" x14ac:dyDescent="0.25">
      <c r="B48" s="15">
        <f t="shared" si="4"/>
        <v>42</v>
      </c>
      <c r="C48" s="308">
        <v>223002</v>
      </c>
      <c r="D48" s="29" t="s">
        <v>69</v>
      </c>
      <c r="E48" s="30">
        <f>23000+9200</f>
        <v>32200</v>
      </c>
      <c r="F48" s="30">
        <v>42524</v>
      </c>
      <c r="G48" s="361">
        <f t="shared" si="3"/>
        <v>132.06211180124222</v>
      </c>
    </row>
    <row r="49" spans="2:7" ht="15.75" thickBot="1" x14ac:dyDescent="0.3">
      <c r="B49" s="15">
        <f t="shared" si="4"/>
        <v>43</v>
      </c>
      <c r="C49" s="312">
        <v>2</v>
      </c>
      <c r="D49" s="33" t="s">
        <v>11</v>
      </c>
      <c r="E49" s="34">
        <f>E50+E52+E56+E58+E63+E66+E70+E73+E76+E78+E81+E83+E87</f>
        <v>1263250</v>
      </c>
      <c r="F49" s="34">
        <f t="shared" ref="F49" si="12">F50+F52+F56+F58+F63+F66+F70+F73+F76+F78+F81+F83+F87</f>
        <v>1240399</v>
      </c>
      <c r="G49" s="361">
        <f t="shared" si="3"/>
        <v>98.191094399366705</v>
      </c>
    </row>
    <row r="50" spans="2:7" x14ac:dyDescent="0.2">
      <c r="B50" s="15">
        <f t="shared" si="4"/>
        <v>44</v>
      </c>
      <c r="C50" s="310">
        <v>210</v>
      </c>
      <c r="D50" s="35" t="s">
        <v>235</v>
      </c>
      <c r="E50" s="38">
        <f>E51</f>
        <v>300</v>
      </c>
      <c r="F50" s="38">
        <f t="shared" ref="F50" si="13">F51</f>
        <v>1215</v>
      </c>
      <c r="G50" s="361">
        <f t="shared" si="3"/>
        <v>405</v>
      </c>
    </row>
    <row r="51" spans="2:7" x14ac:dyDescent="0.2">
      <c r="B51" s="15">
        <f t="shared" si="4"/>
        <v>45</v>
      </c>
      <c r="C51" s="308">
        <v>212003</v>
      </c>
      <c r="D51" s="29" t="s">
        <v>236</v>
      </c>
      <c r="E51" s="30">
        <v>300</v>
      </c>
      <c r="F51" s="30">
        <v>1215</v>
      </c>
      <c r="G51" s="361">
        <f t="shared" si="3"/>
        <v>405</v>
      </c>
    </row>
    <row r="52" spans="2:7" x14ac:dyDescent="0.2">
      <c r="B52" s="15">
        <f t="shared" si="4"/>
        <v>46</v>
      </c>
      <c r="C52" s="310">
        <v>220</v>
      </c>
      <c r="D52" s="37" t="s">
        <v>210</v>
      </c>
      <c r="E52" s="38">
        <f>E53+E54</f>
        <v>1300</v>
      </c>
      <c r="F52" s="38">
        <f>SUM(F53:F55)</f>
        <v>65904</v>
      </c>
      <c r="G52" s="361">
        <f t="shared" si="3"/>
        <v>5069.5384615384619</v>
      </c>
    </row>
    <row r="53" spans="2:7" x14ac:dyDescent="0.2">
      <c r="B53" s="15">
        <f t="shared" si="4"/>
        <v>47</v>
      </c>
      <c r="C53" s="308">
        <v>222003</v>
      </c>
      <c r="D53" s="29" t="s">
        <v>54</v>
      </c>
      <c r="E53" s="30">
        <v>100</v>
      </c>
      <c r="F53" s="30">
        <v>61917</v>
      </c>
      <c r="G53" s="361">
        <f t="shared" si="3"/>
        <v>61916.999999999993</v>
      </c>
    </row>
    <row r="54" spans="2:7" x14ac:dyDescent="0.2">
      <c r="B54" s="15">
        <f t="shared" si="4"/>
        <v>48</v>
      </c>
      <c r="C54" s="308">
        <v>223001</v>
      </c>
      <c r="D54" s="29" t="s">
        <v>238</v>
      </c>
      <c r="E54" s="30">
        <v>1200</v>
      </c>
      <c r="F54" s="30">
        <f>3952</f>
        <v>3952</v>
      </c>
      <c r="G54" s="361">
        <f t="shared" si="3"/>
        <v>329.33333333333337</v>
      </c>
    </row>
    <row r="55" spans="2:7" x14ac:dyDescent="0.2">
      <c r="B55" s="15"/>
      <c r="C55" s="308">
        <v>223004</v>
      </c>
      <c r="D55" s="29" t="s">
        <v>756</v>
      </c>
      <c r="E55" s="30">
        <v>0</v>
      </c>
      <c r="F55" s="30">
        <v>35</v>
      </c>
      <c r="G55" s="361">
        <v>0</v>
      </c>
    </row>
    <row r="56" spans="2:7" x14ac:dyDescent="0.2">
      <c r="B56" s="15">
        <f>B54+1</f>
        <v>49</v>
      </c>
      <c r="C56" s="310">
        <v>240</v>
      </c>
      <c r="D56" s="37" t="s">
        <v>166</v>
      </c>
      <c r="E56" s="38">
        <f>E57</f>
        <v>50</v>
      </c>
      <c r="F56" s="38">
        <f t="shared" ref="F56" si="14">F57</f>
        <v>0</v>
      </c>
      <c r="G56" s="361">
        <f t="shared" si="3"/>
        <v>0</v>
      </c>
    </row>
    <row r="57" spans="2:7" x14ac:dyDescent="0.2">
      <c r="B57" s="15">
        <f t="shared" si="4"/>
        <v>50</v>
      </c>
      <c r="C57" s="308">
        <v>242</v>
      </c>
      <c r="D57" s="29" t="s">
        <v>165</v>
      </c>
      <c r="E57" s="30">
        <v>50</v>
      </c>
      <c r="F57" s="30">
        <v>0</v>
      </c>
      <c r="G57" s="361">
        <f t="shared" si="3"/>
        <v>0</v>
      </c>
    </row>
    <row r="58" spans="2:7" x14ac:dyDescent="0.2">
      <c r="B58" s="15">
        <f t="shared" si="4"/>
        <v>51</v>
      </c>
      <c r="C58" s="310">
        <v>290</v>
      </c>
      <c r="D58" s="37" t="s">
        <v>168</v>
      </c>
      <c r="E58" s="38">
        <f>SUM(E60:E62)</f>
        <v>4600</v>
      </c>
      <c r="F58" s="38">
        <f>SUM(F59:F62)</f>
        <v>34628</v>
      </c>
      <c r="G58" s="361">
        <f t="shared" si="3"/>
        <v>752.78260869565224</v>
      </c>
    </row>
    <row r="59" spans="2:7" x14ac:dyDescent="0.2">
      <c r="B59" s="15"/>
      <c r="C59" s="308">
        <v>292006</v>
      </c>
      <c r="D59" s="29" t="s">
        <v>167</v>
      </c>
      <c r="E59" s="30">
        <v>0</v>
      </c>
      <c r="F59" s="30">
        <v>3835</v>
      </c>
      <c r="G59" s="361">
        <v>0</v>
      </c>
    </row>
    <row r="60" spans="2:7" x14ac:dyDescent="0.2">
      <c r="B60" s="15">
        <f>B58+1</f>
        <v>52</v>
      </c>
      <c r="C60" s="308">
        <v>292012</v>
      </c>
      <c r="D60" s="29" t="s">
        <v>220</v>
      </c>
      <c r="E60" s="30">
        <v>4000</v>
      </c>
      <c r="F60" s="30">
        <v>24552</v>
      </c>
      <c r="G60" s="361">
        <f t="shared" si="3"/>
        <v>613.79999999999995</v>
      </c>
    </row>
    <row r="61" spans="2:7" x14ac:dyDescent="0.2">
      <c r="B61" s="15">
        <f t="shared" si="4"/>
        <v>53</v>
      </c>
      <c r="C61" s="308">
        <v>292017</v>
      </c>
      <c r="D61" s="29" t="s">
        <v>221</v>
      </c>
      <c r="E61" s="30">
        <v>300</v>
      </c>
      <c r="F61" s="30">
        <v>1581</v>
      </c>
      <c r="G61" s="361">
        <f t="shared" si="3"/>
        <v>527</v>
      </c>
    </row>
    <row r="62" spans="2:7" x14ac:dyDescent="0.2">
      <c r="B62" s="15">
        <f t="shared" si="4"/>
        <v>54</v>
      </c>
      <c r="C62" s="308">
        <v>292027</v>
      </c>
      <c r="D62" s="29" t="s">
        <v>311</v>
      </c>
      <c r="E62" s="30">
        <v>300</v>
      </c>
      <c r="F62" s="30">
        <v>4660</v>
      </c>
      <c r="G62" s="361">
        <f t="shared" si="3"/>
        <v>1553.3333333333333</v>
      </c>
    </row>
    <row r="63" spans="2:7" x14ac:dyDescent="0.2">
      <c r="B63" s="15">
        <f t="shared" si="4"/>
        <v>55</v>
      </c>
      <c r="C63" s="310"/>
      <c r="D63" s="37" t="s">
        <v>46</v>
      </c>
      <c r="E63" s="38">
        <f>E64+E65</f>
        <v>293000</v>
      </c>
      <c r="F63" s="38">
        <f t="shared" ref="F63" si="15">F64+F65</f>
        <v>258580</v>
      </c>
      <c r="G63" s="361">
        <f t="shared" si="3"/>
        <v>88.25255972696246</v>
      </c>
    </row>
    <row r="64" spans="2:7" x14ac:dyDescent="0.2">
      <c r="B64" s="15">
        <f t="shared" si="4"/>
        <v>56</v>
      </c>
      <c r="C64" s="308">
        <v>212003</v>
      </c>
      <c r="D64" s="29" t="s">
        <v>236</v>
      </c>
      <c r="E64" s="30">
        <v>6000</v>
      </c>
      <c r="F64" s="30">
        <v>8834</v>
      </c>
      <c r="G64" s="361">
        <f t="shared" si="3"/>
        <v>147.23333333333332</v>
      </c>
    </row>
    <row r="65" spans="2:7" x14ac:dyDescent="0.2">
      <c r="B65" s="15">
        <f t="shared" si="4"/>
        <v>57</v>
      </c>
      <c r="C65" s="308">
        <v>223001</v>
      </c>
      <c r="D65" s="29" t="s">
        <v>238</v>
      </c>
      <c r="E65" s="30">
        <v>287000</v>
      </c>
      <c r="F65" s="30">
        <v>249746</v>
      </c>
      <c r="G65" s="361">
        <f t="shared" si="3"/>
        <v>87.019512195121948</v>
      </c>
    </row>
    <row r="66" spans="2:7" x14ac:dyDescent="0.2">
      <c r="B66" s="15">
        <f t="shared" si="4"/>
        <v>58</v>
      </c>
      <c r="C66" s="310"/>
      <c r="D66" s="37" t="s">
        <v>390</v>
      </c>
      <c r="E66" s="38">
        <f>SUM(E67:E69)</f>
        <v>408800</v>
      </c>
      <c r="F66" s="38">
        <f t="shared" ref="F66" si="16">SUM(F67:F69)</f>
        <v>381244</v>
      </c>
      <c r="G66" s="361">
        <f t="shared" si="3"/>
        <v>93.259295499021519</v>
      </c>
    </row>
    <row r="67" spans="2:7" x14ac:dyDescent="0.2">
      <c r="B67" s="15">
        <f t="shared" si="4"/>
        <v>59</v>
      </c>
      <c r="C67" s="308">
        <v>212002</v>
      </c>
      <c r="D67" s="29" t="s">
        <v>256</v>
      </c>
      <c r="E67" s="30">
        <v>10000</v>
      </c>
      <c r="F67" s="30">
        <v>16073</v>
      </c>
      <c r="G67" s="361">
        <f t="shared" si="3"/>
        <v>160.72999999999999</v>
      </c>
    </row>
    <row r="68" spans="2:7" x14ac:dyDescent="0.2">
      <c r="B68" s="15">
        <f t="shared" si="4"/>
        <v>60</v>
      </c>
      <c r="C68" s="308">
        <v>212003</v>
      </c>
      <c r="D68" s="29" t="s">
        <v>236</v>
      </c>
      <c r="E68" s="30">
        <v>2500</v>
      </c>
      <c r="F68" s="30">
        <v>2723</v>
      </c>
      <c r="G68" s="361">
        <f t="shared" si="3"/>
        <v>108.91999999999999</v>
      </c>
    </row>
    <row r="69" spans="2:7" x14ac:dyDescent="0.2">
      <c r="B69" s="15">
        <f t="shared" si="4"/>
        <v>61</v>
      </c>
      <c r="C69" s="308">
        <v>223001</v>
      </c>
      <c r="D69" s="29" t="s">
        <v>238</v>
      </c>
      <c r="E69" s="30">
        <v>396300</v>
      </c>
      <c r="F69" s="30">
        <v>362448</v>
      </c>
      <c r="G69" s="361">
        <f t="shared" si="3"/>
        <v>91.457986373959116</v>
      </c>
    </row>
    <row r="70" spans="2:7" x14ac:dyDescent="0.2">
      <c r="B70" s="15">
        <f t="shared" si="4"/>
        <v>62</v>
      </c>
      <c r="C70" s="310"/>
      <c r="D70" s="37" t="s">
        <v>200</v>
      </c>
      <c r="E70" s="38">
        <f>SUM(E71:E72)</f>
        <v>129700</v>
      </c>
      <c r="F70" s="38">
        <f t="shared" ref="F70" si="17">SUM(F71:F72)</f>
        <v>66528</v>
      </c>
      <c r="G70" s="361">
        <f t="shared" si="3"/>
        <v>51.293754818812644</v>
      </c>
    </row>
    <row r="71" spans="2:7" x14ac:dyDescent="0.2">
      <c r="B71" s="15">
        <f t="shared" si="4"/>
        <v>63</v>
      </c>
      <c r="C71" s="308">
        <v>212003</v>
      </c>
      <c r="D71" s="29" t="s">
        <v>236</v>
      </c>
      <c r="E71" s="30">
        <v>39700</v>
      </c>
      <c r="F71" s="30">
        <v>35514</v>
      </c>
      <c r="G71" s="361">
        <f t="shared" si="3"/>
        <v>89.455919395465997</v>
      </c>
    </row>
    <row r="72" spans="2:7" x14ac:dyDescent="0.2">
      <c r="B72" s="15">
        <f t="shared" si="4"/>
        <v>64</v>
      </c>
      <c r="C72" s="308">
        <v>223001</v>
      </c>
      <c r="D72" s="29" t="s">
        <v>238</v>
      </c>
      <c r="E72" s="30">
        <v>90000</v>
      </c>
      <c r="F72" s="30">
        <f>26831+4183</f>
        <v>31014</v>
      </c>
      <c r="G72" s="361">
        <f t="shared" si="3"/>
        <v>34.46</v>
      </c>
    </row>
    <row r="73" spans="2:7" x14ac:dyDescent="0.2">
      <c r="B73" s="15">
        <f t="shared" si="4"/>
        <v>65</v>
      </c>
      <c r="C73" s="310"/>
      <c r="D73" s="37" t="s">
        <v>216</v>
      </c>
      <c r="E73" s="38">
        <f>E74+E75</f>
        <v>167500</v>
      </c>
      <c r="F73" s="38">
        <f t="shared" ref="F73" si="18">F74+F75</f>
        <v>196525</v>
      </c>
      <c r="G73" s="361">
        <f t="shared" si="3"/>
        <v>117.32835820895522</v>
      </c>
    </row>
    <row r="74" spans="2:7" x14ac:dyDescent="0.2">
      <c r="B74" s="15">
        <f t="shared" si="4"/>
        <v>66</v>
      </c>
      <c r="C74" s="308">
        <v>212004</v>
      </c>
      <c r="D74" s="29" t="s">
        <v>237</v>
      </c>
      <c r="E74" s="30">
        <v>4000</v>
      </c>
      <c r="F74" s="30">
        <v>6940</v>
      </c>
      <c r="G74" s="361">
        <f t="shared" si="3"/>
        <v>173.5</v>
      </c>
    </row>
    <row r="75" spans="2:7" x14ac:dyDescent="0.2">
      <c r="B75" s="15">
        <f t="shared" si="4"/>
        <v>67</v>
      </c>
      <c r="C75" s="308">
        <v>223001</v>
      </c>
      <c r="D75" s="29" t="s">
        <v>238</v>
      </c>
      <c r="E75" s="30">
        <v>163500</v>
      </c>
      <c r="F75" s="30">
        <v>189585</v>
      </c>
      <c r="G75" s="361">
        <f t="shared" si="3"/>
        <v>115.95412844036697</v>
      </c>
    </row>
    <row r="76" spans="2:7" x14ac:dyDescent="0.2">
      <c r="B76" s="15">
        <f t="shared" si="4"/>
        <v>68</v>
      </c>
      <c r="C76" s="310"/>
      <c r="D76" s="37" t="s">
        <v>206</v>
      </c>
      <c r="E76" s="38">
        <f>E77</f>
        <v>2500</v>
      </c>
      <c r="F76" s="38">
        <f t="shared" ref="F76" si="19">F77</f>
        <v>2921</v>
      </c>
      <c r="G76" s="361">
        <f t="shared" si="3"/>
        <v>116.84</v>
      </c>
    </row>
    <row r="77" spans="2:7" x14ac:dyDescent="0.2">
      <c r="B77" s="15">
        <f t="shared" si="4"/>
        <v>69</v>
      </c>
      <c r="C77" s="308">
        <v>292006</v>
      </c>
      <c r="D77" s="29" t="s">
        <v>167</v>
      </c>
      <c r="E77" s="30">
        <v>2500</v>
      </c>
      <c r="F77" s="30">
        <v>2921</v>
      </c>
      <c r="G77" s="361">
        <f t="shared" si="3"/>
        <v>116.84</v>
      </c>
    </row>
    <row r="78" spans="2:7" x14ac:dyDescent="0.2">
      <c r="B78" s="15">
        <f t="shared" si="4"/>
        <v>70</v>
      </c>
      <c r="C78" s="310"/>
      <c r="D78" s="37" t="s">
        <v>43</v>
      </c>
      <c r="E78" s="38">
        <f>E79+E80</f>
        <v>20050</v>
      </c>
      <c r="F78" s="38">
        <f t="shared" ref="F78" si="20">F79+F80</f>
        <v>12718</v>
      </c>
      <c r="G78" s="361">
        <f t="shared" si="3"/>
        <v>63.431421446384043</v>
      </c>
    </row>
    <row r="79" spans="2:7" x14ac:dyDescent="0.2">
      <c r="B79" s="15">
        <f t="shared" si="4"/>
        <v>71</v>
      </c>
      <c r="C79" s="308">
        <v>212003</v>
      </c>
      <c r="D79" s="29" t="s">
        <v>236</v>
      </c>
      <c r="E79" s="30">
        <v>50</v>
      </c>
      <c r="F79" s="30">
        <v>36</v>
      </c>
      <c r="G79" s="361">
        <f t="shared" si="3"/>
        <v>72</v>
      </c>
    </row>
    <row r="80" spans="2:7" x14ac:dyDescent="0.2">
      <c r="B80" s="15">
        <f t="shared" si="4"/>
        <v>72</v>
      </c>
      <c r="C80" s="308">
        <v>223001</v>
      </c>
      <c r="D80" s="29" t="s">
        <v>238</v>
      </c>
      <c r="E80" s="30">
        <v>20000</v>
      </c>
      <c r="F80" s="30">
        <v>12682</v>
      </c>
      <c r="G80" s="361">
        <f t="shared" ref="G80:G143" si="21">F80/E80*100</f>
        <v>63.41</v>
      </c>
    </row>
    <row r="81" spans="2:7" x14ac:dyDescent="0.2">
      <c r="B81" s="15">
        <f t="shared" ref="B81:B86" si="22">B80+1</f>
        <v>73</v>
      </c>
      <c r="C81" s="310"/>
      <c r="D81" s="37" t="s">
        <v>44</v>
      </c>
      <c r="E81" s="38">
        <f>E82</f>
        <v>2500</v>
      </c>
      <c r="F81" s="38">
        <f t="shared" ref="F81" si="23">F82</f>
        <v>2115</v>
      </c>
      <c r="G81" s="361">
        <f t="shared" si="21"/>
        <v>84.6</v>
      </c>
    </row>
    <row r="82" spans="2:7" x14ac:dyDescent="0.2">
      <c r="B82" s="15">
        <f t="shared" si="22"/>
        <v>74</v>
      </c>
      <c r="C82" s="308">
        <v>292006</v>
      </c>
      <c r="D82" s="29" t="s">
        <v>167</v>
      </c>
      <c r="E82" s="30">
        <v>2500</v>
      </c>
      <c r="F82" s="30">
        <v>2115</v>
      </c>
      <c r="G82" s="361">
        <f t="shared" si="21"/>
        <v>84.6</v>
      </c>
    </row>
    <row r="83" spans="2:7" x14ac:dyDescent="0.2">
      <c r="B83" s="15">
        <f t="shared" si="22"/>
        <v>75</v>
      </c>
      <c r="C83" s="310"/>
      <c r="D83" s="37" t="s">
        <v>45</v>
      </c>
      <c r="E83" s="38">
        <f>SUM(E84:E86)</f>
        <v>207250</v>
      </c>
      <c r="F83" s="38">
        <f t="shared" ref="F83" si="24">SUM(F84:F86)</f>
        <v>176977</v>
      </c>
      <c r="G83" s="361">
        <f t="shared" si="21"/>
        <v>85.393003618817858</v>
      </c>
    </row>
    <row r="84" spans="2:7" x14ac:dyDescent="0.2">
      <c r="B84" s="15">
        <f t="shared" si="22"/>
        <v>76</v>
      </c>
      <c r="C84" s="308">
        <v>212002</v>
      </c>
      <c r="D84" s="29" t="s">
        <v>256</v>
      </c>
      <c r="E84" s="30">
        <v>250</v>
      </c>
      <c r="F84" s="30">
        <v>345</v>
      </c>
      <c r="G84" s="361">
        <f t="shared" si="21"/>
        <v>138</v>
      </c>
    </row>
    <row r="85" spans="2:7" x14ac:dyDescent="0.2">
      <c r="B85" s="15">
        <f t="shared" si="22"/>
        <v>77</v>
      </c>
      <c r="C85" s="308">
        <v>212003</v>
      </c>
      <c r="D85" s="29" t="s">
        <v>236</v>
      </c>
      <c r="E85" s="30">
        <v>500</v>
      </c>
      <c r="F85" s="30">
        <v>74</v>
      </c>
      <c r="G85" s="361">
        <f t="shared" si="21"/>
        <v>14.799999999999999</v>
      </c>
    </row>
    <row r="86" spans="2:7" x14ac:dyDescent="0.2">
      <c r="B86" s="15">
        <f t="shared" si="22"/>
        <v>78</v>
      </c>
      <c r="C86" s="308">
        <v>223001</v>
      </c>
      <c r="D86" s="29" t="s">
        <v>238</v>
      </c>
      <c r="E86" s="30">
        <f>171500+35000</f>
        <v>206500</v>
      </c>
      <c r="F86" s="30">
        <f>175180+1378</f>
        <v>176558</v>
      </c>
      <c r="G86" s="361">
        <f t="shared" si="21"/>
        <v>85.500242130750607</v>
      </c>
    </row>
    <row r="87" spans="2:7" x14ac:dyDescent="0.2">
      <c r="B87" s="15">
        <f t="shared" ref="B87:B147" si="25">B86+1</f>
        <v>79</v>
      </c>
      <c r="C87" s="310"/>
      <c r="D87" s="37" t="s">
        <v>47</v>
      </c>
      <c r="E87" s="38">
        <f>E88+E89</f>
        <v>25700</v>
      </c>
      <c r="F87" s="38">
        <f t="shared" ref="F87" si="26">F88+F89</f>
        <v>41044</v>
      </c>
      <c r="G87" s="361">
        <f t="shared" si="21"/>
        <v>159.70428015564201</v>
      </c>
    </row>
    <row r="88" spans="2:7" x14ac:dyDescent="0.2">
      <c r="B88" s="15">
        <f t="shared" si="25"/>
        <v>80</v>
      </c>
      <c r="C88" s="308">
        <v>212002</v>
      </c>
      <c r="D88" s="29" t="s">
        <v>256</v>
      </c>
      <c r="E88" s="30">
        <v>700</v>
      </c>
      <c r="F88" s="30">
        <v>700</v>
      </c>
      <c r="G88" s="361">
        <f t="shared" si="21"/>
        <v>100</v>
      </c>
    </row>
    <row r="89" spans="2:7" ht="13.5" thickBot="1" x14ac:dyDescent="0.25">
      <c r="B89" s="15">
        <f t="shared" si="25"/>
        <v>81</v>
      </c>
      <c r="C89" s="311">
        <v>223001</v>
      </c>
      <c r="D89" s="39" t="s">
        <v>238</v>
      </c>
      <c r="E89" s="40">
        <v>25000</v>
      </c>
      <c r="F89" s="40">
        <v>40344</v>
      </c>
      <c r="G89" s="361">
        <f t="shared" si="21"/>
        <v>161.376</v>
      </c>
    </row>
    <row r="90" spans="2:7" ht="15.75" thickBot="1" x14ac:dyDescent="0.3">
      <c r="B90" s="15">
        <f t="shared" si="25"/>
        <v>82</v>
      </c>
      <c r="C90" s="312">
        <v>3</v>
      </c>
      <c r="D90" s="33" t="s">
        <v>8</v>
      </c>
      <c r="E90" s="34">
        <f>E91+E93</f>
        <v>45440</v>
      </c>
      <c r="F90" s="34">
        <f t="shared" ref="F90" si="27">F91+F93</f>
        <v>46283</v>
      </c>
      <c r="G90" s="361">
        <f t="shared" si="21"/>
        <v>101.85519366197182</v>
      </c>
    </row>
    <row r="91" spans="2:7" x14ac:dyDescent="0.2">
      <c r="B91" s="15">
        <f t="shared" si="25"/>
        <v>83</v>
      </c>
      <c r="C91" s="309">
        <v>220</v>
      </c>
      <c r="D91" s="35" t="s">
        <v>210</v>
      </c>
      <c r="E91" s="36">
        <f>E92</f>
        <v>45160</v>
      </c>
      <c r="F91" s="36">
        <f t="shared" ref="F91" si="28">F92</f>
        <v>46005</v>
      </c>
      <c r="G91" s="361">
        <f t="shared" si="21"/>
        <v>101.87112488928256</v>
      </c>
    </row>
    <row r="92" spans="2:7" x14ac:dyDescent="0.2">
      <c r="B92" s="15">
        <f t="shared" si="25"/>
        <v>84</v>
      </c>
      <c r="C92" s="308">
        <v>223002</v>
      </c>
      <c r="D92" s="29" t="s">
        <v>69</v>
      </c>
      <c r="E92" s="30">
        <f>38955+6205</f>
        <v>45160</v>
      </c>
      <c r="F92" s="30">
        <v>46005</v>
      </c>
      <c r="G92" s="361">
        <f t="shared" si="21"/>
        <v>101.87112488928256</v>
      </c>
    </row>
    <row r="93" spans="2:7" x14ac:dyDescent="0.2">
      <c r="B93" s="15">
        <f t="shared" si="25"/>
        <v>85</v>
      </c>
      <c r="C93" s="310">
        <v>290</v>
      </c>
      <c r="D93" s="37" t="s">
        <v>168</v>
      </c>
      <c r="E93" s="38">
        <f>E94</f>
        <v>280</v>
      </c>
      <c r="F93" s="38">
        <f t="shared" ref="F93" si="29">F94</f>
        <v>278</v>
      </c>
      <c r="G93" s="361">
        <f t="shared" si="21"/>
        <v>99.285714285714292</v>
      </c>
    </row>
    <row r="94" spans="2:7" ht="13.5" thickBot="1" x14ac:dyDescent="0.25">
      <c r="B94" s="15">
        <f t="shared" si="25"/>
        <v>86</v>
      </c>
      <c r="C94" s="308">
        <v>292012</v>
      </c>
      <c r="D94" s="29" t="s">
        <v>220</v>
      </c>
      <c r="E94" s="30">
        <v>280</v>
      </c>
      <c r="F94" s="30">
        <v>278</v>
      </c>
      <c r="G94" s="361">
        <f t="shared" si="21"/>
        <v>99.285714285714292</v>
      </c>
    </row>
    <row r="95" spans="2:7" ht="15.75" thickBot="1" x14ac:dyDescent="0.3">
      <c r="B95" s="15">
        <f t="shared" si="25"/>
        <v>87</v>
      </c>
      <c r="C95" s="312">
        <v>4</v>
      </c>
      <c r="D95" s="33" t="s">
        <v>83</v>
      </c>
      <c r="E95" s="34">
        <f>E96+E100+E104+E108+E112+E116+E120+E124+E128+E132+E136+E140+E144+E148+E150+E152+E155</f>
        <v>1109932</v>
      </c>
      <c r="F95" s="34">
        <f t="shared" ref="F95" si="30">F96+F100+F104+F108+F112+F116+F120+F124+F128+F132+F136+F140+F144+F148+F150+F152+F155</f>
        <v>892764</v>
      </c>
      <c r="G95" s="361">
        <f t="shared" si="21"/>
        <v>80.434116684625721</v>
      </c>
    </row>
    <row r="96" spans="2:7" x14ac:dyDescent="0.2">
      <c r="B96" s="15">
        <f t="shared" si="25"/>
        <v>88</v>
      </c>
      <c r="C96" s="309"/>
      <c r="D96" s="35" t="s">
        <v>65</v>
      </c>
      <c r="E96" s="36">
        <f>SUM(E97:E99)</f>
        <v>49742</v>
      </c>
      <c r="F96" s="36">
        <f t="shared" ref="F96" si="31">SUM(F97:F99)</f>
        <v>34782</v>
      </c>
      <c r="G96" s="361">
        <f t="shared" si="21"/>
        <v>69.924812030075188</v>
      </c>
    </row>
    <row r="97" spans="2:7" x14ac:dyDescent="0.2">
      <c r="B97" s="15">
        <f t="shared" si="25"/>
        <v>89</v>
      </c>
      <c r="C97" s="308">
        <v>223001</v>
      </c>
      <c r="D97" s="29" t="s">
        <v>238</v>
      </c>
      <c r="E97" s="30">
        <f>4032+2+256</f>
        <v>4290</v>
      </c>
      <c r="F97" s="30">
        <v>4138</v>
      </c>
      <c r="G97" s="361">
        <f t="shared" si="21"/>
        <v>96.456876456876458</v>
      </c>
    </row>
    <row r="98" spans="2:7" x14ac:dyDescent="0.2">
      <c r="B98" s="15">
        <f t="shared" si="25"/>
        <v>90</v>
      </c>
      <c r="C98" s="308">
        <v>223002</v>
      </c>
      <c r="D98" s="29" t="s">
        <v>69</v>
      </c>
      <c r="E98" s="30">
        <v>16170</v>
      </c>
      <c r="F98" s="30">
        <v>12691</v>
      </c>
      <c r="G98" s="361">
        <f t="shared" si="21"/>
        <v>78.484848484848484</v>
      </c>
    </row>
    <row r="99" spans="2:7" x14ac:dyDescent="0.2">
      <c r="B99" s="15">
        <f t="shared" si="25"/>
        <v>91</v>
      </c>
      <c r="C99" s="308">
        <v>223003</v>
      </c>
      <c r="D99" s="29" t="s">
        <v>70</v>
      </c>
      <c r="E99" s="30">
        <v>29282</v>
      </c>
      <c r="F99" s="30">
        <v>17953</v>
      </c>
      <c r="G99" s="361">
        <f t="shared" si="21"/>
        <v>61.310702820845577</v>
      </c>
    </row>
    <row r="100" spans="2:7" x14ac:dyDescent="0.2">
      <c r="B100" s="15">
        <f t="shared" si="25"/>
        <v>92</v>
      </c>
      <c r="C100" s="310"/>
      <c r="D100" s="37" t="s">
        <v>226</v>
      </c>
      <c r="E100" s="38">
        <f>SUM(E101:E103)</f>
        <v>108852</v>
      </c>
      <c r="F100" s="38">
        <f t="shared" ref="F100" si="32">SUM(F101:F103)</f>
        <v>83040</v>
      </c>
      <c r="G100" s="361">
        <f t="shared" si="21"/>
        <v>76.287068680410101</v>
      </c>
    </row>
    <row r="101" spans="2:7" x14ac:dyDescent="0.2">
      <c r="B101" s="15">
        <f t="shared" si="25"/>
        <v>93</v>
      </c>
      <c r="C101" s="308">
        <v>223001</v>
      </c>
      <c r="D101" s="29" t="s">
        <v>238</v>
      </c>
      <c r="E101" s="30">
        <f>8631+548</f>
        <v>9179</v>
      </c>
      <c r="F101" s="30">
        <v>8922</v>
      </c>
      <c r="G101" s="361">
        <f t="shared" si="21"/>
        <v>97.200130733195337</v>
      </c>
    </row>
    <row r="102" spans="2:7" x14ac:dyDescent="0.2">
      <c r="B102" s="15">
        <f t="shared" si="25"/>
        <v>94</v>
      </c>
      <c r="C102" s="308">
        <v>223002</v>
      </c>
      <c r="D102" s="29" t="s">
        <v>69</v>
      </c>
      <c r="E102" s="30">
        <f>38588-2000</f>
        <v>36588</v>
      </c>
      <c r="F102" s="30">
        <v>32365</v>
      </c>
      <c r="G102" s="361">
        <f t="shared" si="21"/>
        <v>88.457964359899421</v>
      </c>
    </row>
    <row r="103" spans="2:7" x14ac:dyDescent="0.2">
      <c r="B103" s="15">
        <f t="shared" si="25"/>
        <v>95</v>
      </c>
      <c r="C103" s="308">
        <v>223003</v>
      </c>
      <c r="D103" s="29" t="s">
        <v>70</v>
      </c>
      <c r="E103" s="30">
        <v>63085</v>
      </c>
      <c r="F103" s="30">
        <v>41753</v>
      </c>
      <c r="G103" s="361">
        <f t="shared" si="21"/>
        <v>66.185305540144242</v>
      </c>
    </row>
    <row r="104" spans="2:7" x14ac:dyDescent="0.2">
      <c r="B104" s="15">
        <f t="shared" si="25"/>
        <v>96</v>
      </c>
      <c r="C104" s="310"/>
      <c r="D104" s="37" t="s">
        <v>64</v>
      </c>
      <c r="E104" s="38">
        <f>SUM(E105:E107)</f>
        <v>48954</v>
      </c>
      <c r="F104" s="38">
        <f t="shared" ref="F104" si="33">SUM(F105:F107)</f>
        <v>41277</v>
      </c>
      <c r="G104" s="361">
        <f t="shared" si="21"/>
        <v>84.317931119009685</v>
      </c>
    </row>
    <row r="105" spans="2:7" x14ac:dyDescent="0.2">
      <c r="B105" s="15">
        <f t="shared" si="25"/>
        <v>97</v>
      </c>
      <c r="C105" s="308">
        <v>223001</v>
      </c>
      <c r="D105" s="29" t="s">
        <v>238</v>
      </c>
      <c r="E105" s="30">
        <f>8631-3807</f>
        <v>4824</v>
      </c>
      <c r="F105" s="30">
        <v>5192</v>
      </c>
      <c r="G105" s="361">
        <f t="shared" si="21"/>
        <v>107.62852404643451</v>
      </c>
    </row>
    <row r="106" spans="2:7" x14ac:dyDescent="0.2">
      <c r="B106" s="15">
        <f t="shared" si="25"/>
        <v>98</v>
      </c>
      <c r="C106" s="308">
        <v>223002</v>
      </c>
      <c r="D106" s="29" t="s">
        <v>69</v>
      </c>
      <c r="E106" s="30">
        <v>15068</v>
      </c>
      <c r="F106" s="30">
        <v>15814</v>
      </c>
      <c r="G106" s="361">
        <f t="shared" si="21"/>
        <v>104.95088930183169</v>
      </c>
    </row>
    <row r="107" spans="2:7" x14ac:dyDescent="0.2">
      <c r="B107" s="15">
        <f t="shared" si="25"/>
        <v>99</v>
      </c>
      <c r="C107" s="308">
        <v>223003</v>
      </c>
      <c r="D107" s="29" t="s">
        <v>70</v>
      </c>
      <c r="E107" s="30">
        <v>29062</v>
      </c>
      <c r="F107" s="30">
        <v>20271</v>
      </c>
      <c r="G107" s="361">
        <f t="shared" si="21"/>
        <v>69.750877434450487</v>
      </c>
    </row>
    <row r="108" spans="2:7" x14ac:dyDescent="0.2">
      <c r="B108" s="15">
        <f t="shared" si="25"/>
        <v>100</v>
      </c>
      <c r="C108" s="310"/>
      <c r="D108" s="37" t="s">
        <v>95</v>
      </c>
      <c r="E108" s="38">
        <f>SUM(E109:E111)</f>
        <v>67670</v>
      </c>
      <c r="F108" s="38">
        <f t="shared" ref="F108" si="34">SUM(F109:F111)</f>
        <v>53401</v>
      </c>
      <c r="G108" s="361">
        <f t="shared" si="21"/>
        <v>78.913846608541448</v>
      </c>
    </row>
    <row r="109" spans="2:7" x14ac:dyDescent="0.2">
      <c r="B109" s="15">
        <f t="shared" si="25"/>
        <v>101</v>
      </c>
      <c r="C109" s="308">
        <v>223001</v>
      </c>
      <c r="D109" s="29" t="s">
        <v>238</v>
      </c>
      <c r="E109" s="30">
        <f>5796+368</f>
        <v>6164</v>
      </c>
      <c r="F109" s="30">
        <v>6258</v>
      </c>
      <c r="G109" s="361">
        <f t="shared" si="21"/>
        <v>101.52498377676832</v>
      </c>
    </row>
    <row r="110" spans="2:7" x14ac:dyDescent="0.2">
      <c r="B110" s="15">
        <f t="shared" si="25"/>
        <v>102</v>
      </c>
      <c r="C110" s="308">
        <v>223002</v>
      </c>
      <c r="D110" s="29" t="s">
        <v>69</v>
      </c>
      <c r="E110" s="30">
        <v>21683</v>
      </c>
      <c r="F110" s="30">
        <v>20910</v>
      </c>
      <c r="G110" s="361">
        <f t="shared" si="21"/>
        <v>96.434995157496658</v>
      </c>
    </row>
    <row r="111" spans="2:7" x14ac:dyDescent="0.2">
      <c r="B111" s="15">
        <f t="shared" si="25"/>
        <v>103</v>
      </c>
      <c r="C111" s="308">
        <v>223003</v>
      </c>
      <c r="D111" s="29" t="s">
        <v>70</v>
      </c>
      <c r="E111" s="30">
        <v>39823</v>
      </c>
      <c r="F111" s="30">
        <v>26233</v>
      </c>
      <c r="G111" s="361">
        <f t="shared" si="21"/>
        <v>65.873992416442761</v>
      </c>
    </row>
    <row r="112" spans="2:7" x14ac:dyDescent="0.2">
      <c r="B112" s="15">
        <f t="shared" si="25"/>
        <v>104</v>
      </c>
      <c r="C112" s="310"/>
      <c r="D112" s="37" t="s">
        <v>98</v>
      </c>
      <c r="E112" s="38">
        <f>SUM(E113:E115)</f>
        <v>61353</v>
      </c>
      <c r="F112" s="38">
        <f t="shared" ref="F112" si="35">SUM(F113:F115)</f>
        <v>42840</v>
      </c>
      <c r="G112" s="361">
        <f t="shared" si="21"/>
        <v>69.825436408977566</v>
      </c>
    </row>
    <row r="113" spans="2:7" x14ac:dyDescent="0.2">
      <c r="B113" s="15">
        <f t="shared" si="25"/>
        <v>105</v>
      </c>
      <c r="C113" s="308">
        <v>223001</v>
      </c>
      <c r="D113" s="29" t="s">
        <v>238</v>
      </c>
      <c r="E113" s="30">
        <f>5103+324</f>
        <v>5427</v>
      </c>
      <c r="F113" s="30">
        <v>5024</v>
      </c>
      <c r="G113" s="361">
        <f t="shared" si="21"/>
        <v>92.574166206007007</v>
      </c>
    </row>
    <row r="114" spans="2:7" x14ac:dyDescent="0.2">
      <c r="B114" s="15">
        <f t="shared" si="25"/>
        <v>106</v>
      </c>
      <c r="C114" s="308">
        <v>223002</v>
      </c>
      <c r="D114" s="29" t="s">
        <v>69</v>
      </c>
      <c r="E114" s="30">
        <f>20948-2000</f>
        <v>18948</v>
      </c>
      <c r="F114" s="30">
        <v>14897</v>
      </c>
      <c r="G114" s="361">
        <f t="shared" si="21"/>
        <v>78.620434874393069</v>
      </c>
    </row>
    <row r="115" spans="2:7" x14ac:dyDescent="0.2">
      <c r="B115" s="15">
        <f t="shared" si="25"/>
        <v>107</v>
      </c>
      <c r="C115" s="308">
        <v>223003</v>
      </c>
      <c r="D115" s="29" t="s">
        <v>70</v>
      </c>
      <c r="E115" s="30">
        <v>36978</v>
      </c>
      <c r="F115" s="30">
        <v>22919</v>
      </c>
      <c r="G115" s="361">
        <f t="shared" si="21"/>
        <v>61.980096273459893</v>
      </c>
    </row>
    <row r="116" spans="2:7" x14ac:dyDescent="0.2">
      <c r="B116" s="15">
        <f t="shared" si="25"/>
        <v>108</v>
      </c>
      <c r="C116" s="310"/>
      <c r="D116" s="37" t="s">
        <v>85</v>
      </c>
      <c r="E116" s="38">
        <f>SUM(E117:E119)</f>
        <v>95140</v>
      </c>
      <c r="F116" s="38">
        <f t="shared" ref="F116" si="36">SUM(F117:F119)</f>
        <v>76618</v>
      </c>
      <c r="G116" s="361">
        <f t="shared" si="21"/>
        <v>80.531847803237326</v>
      </c>
    </row>
    <row r="117" spans="2:7" x14ac:dyDescent="0.2">
      <c r="B117" s="15">
        <f t="shared" si="25"/>
        <v>109</v>
      </c>
      <c r="C117" s="308">
        <v>223001</v>
      </c>
      <c r="D117" s="29" t="s">
        <v>238</v>
      </c>
      <c r="E117" s="30">
        <f>7749+492</f>
        <v>8241</v>
      </c>
      <c r="F117" s="30">
        <v>9600</v>
      </c>
      <c r="G117" s="361">
        <f t="shared" si="21"/>
        <v>116.49071714597743</v>
      </c>
    </row>
    <row r="118" spans="2:7" x14ac:dyDescent="0.2">
      <c r="B118" s="15">
        <f t="shared" si="25"/>
        <v>110</v>
      </c>
      <c r="C118" s="308">
        <v>223002</v>
      </c>
      <c r="D118" s="29" t="s">
        <v>69</v>
      </c>
      <c r="E118" s="30">
        <v>30870</v>
      </c>
      <c r="F118" s="30">
        <v>28101</v>
      </c>
      <c r="G118" s="361">
        <f t="shared" si="21"/>
        <v>91.030126336248784</v>
      </c>
    </row>
    <row r="119" spans="2:7" x14ac:dyDescent="0.2">
      <c r="B119" s="15">
        <f t="shared" si="25"/>
        <v>111</v>
      </c>
      <c r="C119" s="308">
        <v>223003</v>
      </c>
      <c r="D119" s="29" t="s">
        <v>70</v>
      </c>
      <c r="E119" s="30">
        <v>56029</v>
      </c>
      <c r="F119" s="30">
        <v>38917</v>
      </c>
      <c r="G119" s="361">
        <f t="shared" si="21"/>
        <v>69.458673187099535</v>
      </c>
    </row>
    <row r="120" spans="2:7" x14ac:dyDescent="0.2">
      <c r="B120" s="15">
        <f t="shared" si="25"/>
        <v>112</v>
      </c>
      <c r="C120" s="310"/>
      <c r="D120" s="37" t="s">
        <v>82</v>
      </c>
      <c r="E120" s="38">
        <f>SUM(E121:E123)</f>
        <v>102078</v>
      </c>
      <c r="F120" s="38">
        <f t="shared" ref="F120" si="37">SUM(F121:F123)</f>
        <v>80634</v>
      </c>
      <c r="G120" s="361">
        <f t="shared" si="21"/>
        <v>78.992535120202206</v>
      </c>
    </row>
    <row r="121" spans="2:7" x14ac:dyDescent="0.2">
      <c r="B121" s="15">
        <f t="shared" si="25"/>
        <v>113</v>
      </c>
      <c r="C121" s="308">
        <v>223001</v>
      </c>
      <c r="D121" s="29" t="s">
        <v>238</v>
      </c>
      <c r="E121" s="30">
        <f>8253+524</f>
        <v>8777</v>
      </c>
      <c r="F121" s="30">
        <v>9218</v>
      </c>
      <c r="G121" s="361">
        <f t="shared" si="21"/>
        <v>105.02449584140368</v>
      </c>
    </row>
    <row r="122" spans="2:7" x14ac:dyDescent="0.2">
      <c r="B122" s="15">
        <f t="shared" si="25"/>
        <v>114</v>
      </c>
      <c r="C122" s="308">
        <v>223002</v>
      </c>
      <c r="D122" s="29" t="s">
        <v>69</v>
      </c>
      <c r="E122" s="30">
        <f>34178-390</f>
        <v>33788</v>
      </c>
      <c r="F122" s="30">
        <v>31324</v>
      </c>
      <c r="G122" s="361">
        <f t="shared" si="21"/>
        <v>92.707470107730558</v>
      </c>
    </row>
    <row r="123" spans="2:7" x14ac:dyDescent="0.2">
      <c r="B123" s="15">
        <f t="shared" si="25"/>
        <v>115</v>
      </c>
      <c r="C123" s="308">
        <v>223003</v>
      </c>
      <c r="D123" s="29" t="s">
        <v>70</v>
      </c>
      <c r="E123" s="30">
        <v>59513</v>
      </c>
      <c r="F123" s="30">
        <v>40092</v>
      </c>
      <c r="G123" s="361">
        <f t="shared" si="21"/>
        <v>67.366793809755848</v>
      </c>
    </row>
    <row r="124" spans="2:7" x14ac:dyDescent="0.2">
      <c r="B124" s="15">
        <f t="shared" si="25"/>
        <v>116</v>
      </c>
      <c r="C124" s="310"/>
      <c r="D124" s="37" t="s">
        <v>102</v>
      </c>
      <c r="E124" s="38">
        <f>SUM(E125:E127)</f>
        <v>59554</v>
      </c>
      <c r="F124" s="38">
        <f t="shared" ref="F124" si="38">SUM(F125:F127)</f>
        <v>42924</v>
      </c>
      <c r="G124" s="361">
        <f t="shared" si="21"/>
        <v>72.075763172918698</v>
      </c>
    </row>
    <row r="125" spans="2:7" x14ac:dyDescent="0.2">
      <c r="B125" s="15">
        <f t="shared" si="25"/>
        <v>117</v>
      </c>
      <c r="C125" s="308">
        <v>223001</v>
      </c>
      <c r="D125" s="29" t="s">
        <v>238</v>
      </c>
      <c r="E125" s="30">
        <f>4599+292</f>
        <v>4891</v>
      </c>
      <c r="F125" s="30">
        <v>4966</v>
      </c>
      <c r="G125" s="361">
        <f t="shared" si="21"/>
        <v>101.53342874667757</v>
      </c>
    </row>
    <row r="126" spans="2:7" x14ac:dyDescent="0.2">
      <c r="B126" s="15">
        <f t="shared" si="25"/>
        <v>118</v>
      </c>
      <c r="C126" s="308">
        <v>223002</v>
      </c>
      <c r="D126" s="29" t="s">
        <v>69</v>
      </c>
      <c r="E126" s="30">
        <v>19845</v>
      </c>
      <c r="F126" s="30">
        <v>16641</v>
      </c>
      <c r="G126" s="361">
        <f t="shared" si="21"/>
        <v>83.854875283446717</v>
      </c>
    </row>
    <row r="127" spans="2:7" x14ac:dyDescent="0.2">
      <c r="B127" s="15">
        <f t="shared" si="25"/>
        <v>119</v>
      </c>
      <c r="C127" s="308">
        <v>223003</v>
      </c>
      <c r="D127" s="29" t="s">
        <v>70</v>
      </c>
      <c r="E127" s="30">
        <v>34818</v>
      </c>
      <c r="F127" s="30">
        <v>21317</v>
      </c>
      <c r="G127" s="361">
        <f t="shared" si="21"/>
        <v>61.224079499109649</v>
      </c>
    </row>
    <row r="128" spans="2:7" x14ac:dyDescent="0.2">
      <c r="B128" s="15">
        <f t="shared" si="25"/>
        <v>120</v>
      </c>
      <c r="C128" s="310"/>
      <c r="D128" s="37" t="s">
        <v>60</v>
      </c>
      <c r="E128" s="38">
        <f>SUM(E129:E131)</f>
        <v>92280</v>
      </c>
      <c r="F128" s="38">
        <f t="shared" ref="F128" si="39">SUM(F129:F131)</f>
        <v>72366</v>
      </c>
      <c r="G128" s="361">
        <f t="shared" si="21"/>
        <v>78.420026007802349</v>
      </c>
    </row>
    <row r="129" spans="2:7" x14ac:dyDescent="0.2">
      <c r="B129" s="15">
        <f t="shared" si="25"/>
        <v>121</v>
      </c>
      <c r="C129" s="308">
        <v>223001</v>
      </c>
      <c r="D129" s="29" t="s">
        <v>238</v>
      </c>
      <c r="E129" s="30">
        <f>7560+480</f>
        <v>8040</v>
      </c>
      <c r="F129" s="30">
        <v>7496</v>
      </c>
      <c r="G129" s="361">
        <f t="shared" si="21"/>
        <v>93.233830845771152</v>
      </c>
    </row>
    <row r="130" spans="2:7" x14ac:dyDescent="0.2">
      <c r="B130" s="15">
        <f t="shared" si="25"/>
        <v>122</v>
      </c>
      <c r="C130" s="308">
        <v>223002</v>
      </c>
      <c r="D130" s="29" t="s">
        <v>69</v>
      </c>
      <c r="E130" s="30">
        <f>31238-1285</f>
        <v>29953</v>
      </c>
      <c r="F130" s="30">
        <v>27593</v>
      </c>
      <c r="G130" s="361">
        <f t="shared" si="21"/>
        <v>92.120989550295462</v>
      </c>
    </row>
    <row r="131" spans="2:7" x14ac:dyDescent="0.2">
      <c r="B131" s="15">
        <f t="shared" si="25"/>
        <v>123</v>
      </c>
      <c r="C131" s="308">
        <v>223003</v>
      </c>
      <c r="D131" s="29" t="s">
        <v>70</v>
      </c>
      <c r="E131" s="30">
        <v>54287</v>
      </c>
      <c r="F131" s="30">
        <v>37277</v>
      </c>
      <c r="G131" s="361">
        <f t="shared" si="21"/>
        <v>68.666531582146746</v>
      </c>
    </row>
    <row r="132" spans="2:7" x14ac:dyDescent="0.2">
      <c r="B132" s="15">
        <f t="shared" si="25"/>
        <v>124</v>
      </c>
      <c r="C132" s="310"/>
      <c r="D132" s="37" t="s">
        <v>66</v>
      </c>
      <c r="E132" s="38">
        <f>SUM(E133:E135)</f>
        <v>89099</v>
      </c>
      <c r="F132" s="38">
        <f t="shared" ref="F132" si="40">SUM(F133:F135)</f>
        <v>72043</v>
      </c>
      <c r="G132" s="361">
        <f t="shared" si="21"/>
        <v>80.857248678436349</v>
      </c>
    </row>
    <row r="133" spans="2:7" x14ac:dyDescent="0.2">
      <c r="B133" s="15">
        <f t="shared" si="25"/>
        <v>125</v>
      </c>
      <c r="C133" s="308">
        <v>223001</v>
      </c>
      <c r="D133" s="29" t="s">
        <v>238</v>
      </c>
      <c r="E133" s="30">
        <f>7812+496</f>
        <v>8308</v>
      </c>
      <c r="F133" s="30">
        <v>8344</v>
      </c>
      <c r="G133" s="361">
        <f t="shared" si="21"/>
        <v>100.43331728454501</v>
      </c>
    </row>
    <row r="134" spans="2:7" x14ac:dyDescent="0.2">
      <c r="B134" s="15">
        <f t="shared" si="25"/>
        <v>126</v>
      </c>
      <c r="C134" s="308">
        <v>223002</v>
      </c>
      <c r="D134" s="29" t="s">
        <v>69</v>
      </c>
      <c r="E134" s="30">
        <f>29298-2000</f>
        <v>27298</v>
      </c>
      <c r="F134" s="30">
        <v>25870</v>
      </c>
      <c r="G134" s="361">
        <f t="shared" si="21"/>
        <v>94.768847534617919</v>
      </c>
    </row>
    <row r="135" spans="2:7" x14ac:dyDescent="0.2">
      <c r="B135" s="15">
        <f t="shared" si="25"/>
        <v>127</v>
      </c>
      <c r="C135" s="308">
        <v>223003</v>
      </c>
      <c r="D135" s="29" t="s">
        <v>70</v>
      </c>
      <c r="E135" s="30">
        <v>53493</v>
      </c>
      <c r="F135" s="30">
        <v>37829</v>
      </c>
      <c r="G135" s="361">
        <f t="shared" si="21"/>
        <v>70.717663993419706</v>
      </c>
    </row>
    <row r="136" spans="2:7" x14ac:dyDescent="0.2">
      <c r="B136" s="15">
        <f t="shared" si="25"/>
        <v>128</v>
      </c>
      <c r="C136" s="310"/>
      <c r="D136" s="37" t="s">
        <v>67</v>
      </c>
      <c r="E136" s="38">
        <f>SUM(E137:E139)</f>
        <v>70942</v>
      </c>
      <c r="F136" s="38">
        <f t="shared" ref="F136" si="41">SUM(F137:F139)</f>
        <v>62405</v>
      </c>
      <c r="G136" s="361">
        <f t="shared" si="21"/>
        <v>87.96622593104226</v>
      </c>
    </row>
    <row r="137" spans="2:7" x14ac:dyDescent="0.2">
      <c r="B137" s="15">
        <f t="shared" si="25"/>
        <v>129</v>
      </c>
      <c r="C137" s="308">
        <v>223001</v>
      </c>
      <c r="D137" s="29" t="s">
        <v>238</v>
      </c>
      <c r="E137" s="30">
        <f>5355+340</f>
        <v>5695</v>
      </c>
      <c r="F137" s="30">
        <v>6848</v>
      </c>
      <c r="G137" s="361">
        <f t="shared" si="21"/>
        <v>120.24582967515364</v>
      </c>
    </row>
    <row r="138" spans="2:7" x14ac:dyDescent="0.2">
      <c r="B138" s="15">
        <f t="shared" si="25"/>
        <v>130</v>
      </c>
      <c r="C138" s="308">
        <v>223002</v>
      </c>
      <c r="D138" s="29" t="s">
        <v>69</v>
      </c>
      <c r="E138" s="30">
        <v>23153</v>
      </c>
      <c r="F138" s="30">
        <v>24774</v>
      </c>
      <c r="G138" s="361">
        <f t="shared" si="21"/>
        <v>107.00125253746815</v>
      </c>
    </row>
    <row r="139" spans="2:7" x14ac:dyDescent="0.2">
      <c r="B139" s="15">
        <f t="shared" si="25"/>
        <v>131</v>
      </c>
      <c r="C139" s="308">
        <v>223003</v>
      </c>
      <c r="D139" s="29" t="s">
        <v>70</v>
      </c>
      <c r="E139" s="30">
        <v>42094</v>
      </c>
      <c r="F139" s="30">
        <v>30783</v>
      </c>
      <c r="G139" s="361">
        <f t="shared" si="21"/>
        <v>73.129187057537891</v>
      </c>
    </row>
    <row r="140" spans="2:7" x14ac:dyDescent="0.2">
      <c r="B140" s="15">
        <f t="shared" si="25"/>
        <v>132</v>
      </c>
      <c r="C140" s="310"/>
      <c r="D140" s="37" t="s">
        <v>93</v>
      </c>
      <c r="E140" s="38">
        <f>SUM(E141:E143)</f>
        <v>27680</v>
      </c>
      <c r="F140" s="38">
        <f t="shared" ref="F140" si="42">SUM(F141:F143)</f>
        <v>20534</v>
      </c>
      <c r="G140" s="361">
        <f t="shared" si="21"/>
        <v>74.183526011560701</v>
      </c>
    </row>
    <row r="141" spans="2:7" x14ac:dyDescent="0.2">
      <c r="B141" s="15">
        <f t="shared" si="25"/>
        <v>133</v>
      </c>
      <c r="C141" s="308">
        <v>223001</v>
      </c>
      <c r="D141" s="29" t="s">
        <v>238</v>
      </c>
      <c r="E141" s="30">
        <f>2205+140</f>
        <v>2345</v>
      </c>
      <c r="F141" s="30">
        <v>2408</v>
      </c>
      <c r="G141" s="361">
        <f t="shared" si="21"/>
        <v>102.6865671641791</v>
      </c>
    </row>
    <row r="142" spans="2:7" x14ac:dyDescent="0.2">
      <c r="B142" s="15">
        <f t="shared" si="25"/>
        <v>134</v>
      </c>
      <c r="C142" s="308">
        <v>223002</v>
      </c>
      <c r="D142" s="29" t="s">
        <v>69</v>
      </c>
      <c r="E142" s="30">
        <v>8820</v>
      </c>
      <c r="F142" s="30">
        <v>7088</v>
      </c>
      <c r="G142" s="361">
        <f t="shared" si="21"/>
        <v>80.362811791383209</v>
      </c>
    </row>
    <row r="143" spans="2:7" x14ac:dyDescent="0.2">
      <c r="B143" s="15">
        <f t="shared" si="25"/>
        <v>135</v>
      </c>
      <c r="C143" s="308">
        <v>223003</v>
      </c>
      <c r="D143" s="29" t="s">
        <v>70</v>
      </c>
      <c r="E143" s="30">
        <v>16515</v>
      </c>
      <c r="F143" s="30">
        <v>11038</v>
      </c>
      <c r="G143" s="361">
        <f t="shared" si="21"/>
        <v>66.836209506509235</v>
      </c>
    </row>
    <row r="144" spans="2:7" x14ac:dyDescent="0.2">
      <c r="B144" s="15">
        <f t="shared" si="25"/>
        <v>136</v>
      </c>
      <c r="C144" s="310"/>
      <c r="D144" s="37" t="s">
        <v>196</v>
      </c>
      <c r="E144" s="38">
        <f>SUM(E145:E147)</f>
        <v>27265</v>
      </c>
      <c r="F144" s="38">
        <f t="shared" ref="F144" si="43">SUM(F145:F147)</f>
        <v>22651</v>
      </c>
      <c r="G144" s="361">
        <f t="shared" ref="G144:G207" si="44">F144/E144*100</f>
        <v>83.077205208142303</v>
      </c>
    </row>
    <row r="145" spans="2:7" x14ac:dyDescent="0.2">
      <c r="B145" s="15">
        <f t="shared" si="25"/>
        <v>137</v>
      </c>
      <c r="C145" s="308">
        <v>223001</v>
      </c>
      <c r="D145" s="29" t="s">
        <v>238</v>
      </c>
      <c r="E145" s="30">
        <f>2520+160</f>
        <v>2680</v>
      </c>
      <c r="F145" s="30">
        <v>2672</v>
      </c>
      <c r="G145" s="361">
        <f t="shared" si="44"/>
        <v>99.701492537313428</v>
      </c>
    </row>
    <row r="146" spans="2:7" x14ac:dyDescent="0.2">
      <c r="B146" s="15">
        <f t="shared" si="25"/>
        <v>138</v>
      </c>
      <c r="C146" s="308">
        <v>223002</v>
      </c>
      <c r="D146" s="29" t="s">
        <v>69</v>
      </c>
      <c r="E146" s="30">
        <f>6983+800</f>
        <v>7783</v>
      </c>
      <c r="F146" s="30">
        <v>8148</v>
      </c>
      <c r="G146" s="361">
        <f t="shared" si="44"/>
        <v>104.68970833868687</v>
      </c>
    </row>
    <row r="147" spans="2:7" x14ac:dyDescent="0.2">
      <c r="B147" s="15">
        <f t="shared" si="25"/>
        <v>139</v>
      </c>
      <c r="C147" s="308">
        <v>223003</v>
      </c>
      <c r="D147" s="29" t="s">
        <v>70</v>
      </c>
      <c r="E147" s="30">
        <v>16802</v>
      </c>
      <c r="F147" s="30">
        <v>11831</v>
      </c>
      <c r="G147" s="361">
        <f t="shared" si="44"/>
        <v>70.414236400428521</v>
      </c>
    </row>
    <row r="148" spans="2:7" x14ac:dyDescent="0.2">
      <c r="B148" s="15">
        <f t="shared" ref="B148:B215" si="45">B147+1</f>
        <v>140</v>
      </c>
      <c r="C148" s="310"/>
      <c r="D148" s="37" t="s">
        <v>68</v>
      </c>
      <c r="E148" s="38">
        <f>E149</f>
        <v>10290</v>
      </c>
      <c r="F148" s="38">
        <f t="shared" ref="F148" si="46">F149</f>
        <v>9644</v>
      </c>
      <c r="G148" s="361">
        <f t="shared" si="44"/>
        <v>93.722060252672506</v>
      </c>
    </row>
    <row r="149" spans="2:7" x14ac:dyDescent="0.2">
      <c r="B149" s="15">
        <f t="shared" si="45"/>
        <v>141</v>
      </c>
      <c r="C149" s="308">
        <v>223002</v>
      </c>
      <c r="D149" s="29" t="s">
        <v>69</v>
      </c>
      <c r="E149" s="30">
        <v>10290</v>
      </c>
      <c r="F149" s="30">
        <v>9644</v>
      </c>
      <c r="G149" s="361">
        <f t="shared" si="44"/>
        <v>93.722060252672506</v>
      </c>
    </row>
    <row r="150" spans="2:7" x14ac:dyDescent="0.2">
      <c r="B150" s="15">
        <f t="shared" si="45"/>
        <v>142</v>
      </c>
      <c r="C150" s="310"/>
      <c r="D150" s="37" t="s">
        <v>105</v>
      </c>
      <c r="E150" s="38">
        <f>E151</f>
        <v>36016</v>
      </c>
      <c r="F150" s="38">
        <f t="shared" ref="F150" si="47">F151</f>
        <v>35099</v>
      </c>
      <c r="G150" s="361">
        <f t="shared" si="44"/>
        <v>97.453909373611722</v>
      </c>
    </row>
    <row r="151" spans="2:7" x14ac:dyDescent="0.2">
      <c r="B151" s="15">
        <f t="shared" si="45"/>
        <v>143</v>
      </c>
      <c r="C151" s="308">
        <v>223002</v>
      </c>
      <c r="D151" s="29" t="s">
        <v>69</v>
      </c>
      <c r="E151" s="30">
        <v>36016</v>
      </c>
      <c r="F151" s="30">
        <v>35099</v>
      </c>
      <c r="G151" s="361">
        <f t="shared" si="44"/>
        <v>97.453909373611722</v>
      </c>
    </row>
    <row r="152" spans="2:7" x14ac:dyDescent="0.2">
      <c r="B152" s="15">
        <f t="shared" si="45"/>
        <v>144</v>
      </c>
      <c r="C152" s="310"/>
      <c r="D152" s="37" t="s">
        <v>89</v>
      </c>
      <c r="E152" s="38">
        <f>SUM(E153:E154)</f>
        <v>71199</v>
      </c>
      <c r="F152" s="38">
        <f t="shared" ref="F152" si="48">SUM(F153:F154)</f>
        <v>50729</v>
      </c>
      <c r="G152" s="361">
        <f t="shared" si="44"/>
        <v>71.249596202193857</v>
      </c>
    </row>
    <row r="153" spans="2:7" x14ac:dyDescent="0.2">
      <c r="B153" s="15">
        <f t="shared" si="45"/>
        <v>145</v>
      </c>
      <c r="C153" s="308">
        <v>223001</v>
      </c>
      <c r="D153" s="29" t="s">
        <v>238</v>
      </c>
      <c r="E153" s="30">
        <f>8127+516</f>
        <v>8643</v>
      </c>
      <c r="F153" s="30">
        <v>9950</v>
      </c>
      <c r="G153" s="361">
        <f t="shared" si="44"/>
        <v>115.12206409811408</v>
      </c>
    </row>
    <row r="154" spans="2:7" x14ac:dyDescent="0.2">
      <c r="B154" s="15">
        <f t="shared" si="45"/>
        <v>146</v>
      </c>
      <c r="C154" s="308">
        <v>223003</v>
      </c>
      <c r="D154" s="29" t="s">
        <v>70</v>
      </c>
      <c r="E154" s="30">
        <v>62556</v>
      </c>
      <c r="F154" s="30">
        <v>40779</v>
      </c>
      <c r="G154" s="361">
        <f t="shared" si="44"/>
        <v>65.187991559562633</v>
      </c>
    </row>
    <row r="155" spans="2:7" x14ac:dyDescent="0.2">
      <c r="B155" s="15">
        <f t="shared" si="45"/>
        <v>147</v>
      </c>
      <c r="C155" s="310"/>
      <c r="D155" s="37" t="s">
        <v>313</v>
      </c>
      <c r="E155" s="38">
        <f>SUM(E156:E159)</f>
        <v>91818</v>
      </c>
      <c r="F155" s="38">
        <f t="shared" ref="F155" si="49">SUM(F156:F159)</f>
        <v>91777</v>
      </c>
      <c r="G155" s="361">
        <f t="shared" si="44"/>
        <v>99.955346446230593</v>
      </c>
    </row>
    <row r="156" spans="2:7" x14ac:dyDescent="0.2">
      <c r="B156" s="15">
        <f t="shared" si="45"/>
        <v>148</v>
      </c>
      <c r="C156" s="308">
        <v>212003</v>
      </c>
      <c r="D156" s="29" t="s">
        <v>236</v>
      </c>
      <c r="E156" s="30">
        <f>4000+3600+3400-1530+390</f>
        <v>9860</v>
      </c>
      <c r="F156" s="30">
        <v>9823</v>
      </c>
      <c r="G156" s="361">
        <f t="shared" si="44"/>
        <v>99.624746450304258</v>
      </c>
    </row>
    <row r="157" spans="2:7" x14ac:dyDescent="0.2">
      <c r="B157" s="15">
        <f t="shared" si="45"/>
        <v>149</v>
      </c>
      <c r="C157" s="308">
        <v>212004</v>
      </c>
      <c r="D157" s="29" t="s">
        <v>237</v>
      </c>
      <c r="E157" s="30">
        <f>1800+600</f>
        <v>2400</v>
      </c>
      <c r="F157" s="30">
        <v>2400</v>
      </c>
      <c r="G157" s="361">
        <f t="shared" si="44"/>
        <v>100</v>
      </c>
    </row>
    <row r="158" spans="2:7" x14ac:dyDescent="0.2">
      <c r="B158" s="15">
        <f t="shared" si="45"/>
        <v>150</v>
      </c>
      <c r="C158" s="308">
        <v>292012</v>
      </c>
      <c r="D158" s="29" t="s">
        <v>220</v>
      </c>
      <c r="E158" s="30">
        <v>76028</v>
      </c>
      <c r="F158" s="30">
        <v>76029</v>
      </c>
      <c r="G158" s="361">
        <f t="shared" si="44"/>
        <v>100.00131530488767</v>
      </c>
    </row>
    <row r="159" spans="2:7" ht="13.5" thickBot="1" x14ac:dyDescent="0.25">
      <c r="B159" s="15">
        <f t="shared" si="45"/>
        <v>151</v>
      </c>
      <c r="C159" s="308">
        <v>292019</v>
      </c>
      <c r="D159" s="29" t="s">
        <v>222</v>
      </c>
      <c r="E159" s="30">
        <f>2000+1530</f>
        <v>3530</v>
      </c>
      <c r="F159" s="30">
        <v>3525</v>
      </c>
      <c r="G159" s="361">
        <f t="shared" si="44"/>
        <v>99.858356940509921</v>
      </c>
    </row>
    <row r="160" spans="2:7" ht="15.75" thickBot="1" x14ac:dyDescent="0.3">
      <c r="B160" s="15">
        <f t="shared" si="45"/>
        <v>152</v>
      </c>
      <c r="C160" s="312">
        <v>5</v>
      </c>
      <c r="D160" s="33" t="s">
        <v>106</v>
      </c>
      <c r="E160" s="34">
        <f>E161+E164+E170+E172+E174+E176+E182+E188+E193+E196</f>
        <v>1682220</v>
      </c>
      <c r="F160" s="34">
        <f t="shared" ref="F160" si="50">F161+F164+F170+F172+F174+F176+F182+F188+F193+F196</f>
        <v>1446687</v>
      </c>
      <c r="G160" s="361">
        <f t="shared" si="44"/>
        <v>85.998680315297634</v>
      </c>
    </row>
    <row r="161" spans="2:7" x14ac:dyDescent="0.2">
      <c r="B161" s="15">
        <f t="shared" si="45"/>
        <v>153</v>
      </c>
      <c r="C161" s="310">
        <v>290</v>
      </c>
      <c r="D161" s="37" t="s">
        <v>168</v>
      </c>
      <c r="E161" s="38">
        <f>SUM(E162:E163)</f>
        <v>79020</v>
      </c>
      <c r="F161" s="38">
        <f t="shared" ref="F161" si="51">SUM(F162:F163)</f>
        <v>62530</v>
      </c>
      <c r="G161" s="361">
        <f t="shared" si="44"/>
        <v>79.13186535054416</v>
      </c>
    </row>
    <row r="162" spans="2:7" x14ac:dyDescent="0.2">
      <c r="B162" s="15">
        <f t="shared" si="45"/>
        <v>154</v>
      </c>
      <c r="C162" s="308">
        <v>292012</v>
      </c>
      <c r="D162" s="29" t="s">
        <v>220</v>
      </c>
      <c r="E162" s="30">
        <f>2000+57720</f>
        <v>59720</v>
      </c>
      <c r="F162" s="30">
        <v>58121</v>
      </c>
      <c r="G162" s="361">
        <f t="shared" si="44"/>
        <v>97.32250502344273</v>
      </c>
    </row>
    <row r="163" spans="2:7" x14ac:dyDescent="0.2">
      <c r="B163" s="15">
        <f t="shared" si="45"/>
        <v>155</v>
      </c>
      <c r="C163" s="308">
        <v>292019</v>
      </c>
      <c r="D163" s="29" t="s">
        <v>222</v>
      </c>
      <c r="E163" s="30">
        <v>19300</v>
      </c>
      <c r="F163" s="30">
        <v>4409</v>
      </c>
      <c r="G163" s="361">
        <f t="shared" si="44"/>
        <v>22.844559585492227</v>
      </c>
    </row>
    <row r="164" spans="2:7" x14ac:dyDescent="0.2">
      <c r="B164" s="15">
        <f t="shared" si="45"/>
        <v>156</v>
      </c>
      <c r="C164" s="310"/>
      <c r="D164" s="37" t="s">
        <v>71</v>
      </c>
      <c r="E164" s="38">
        <f>SUM(E165:E169)</f>
        <v>119100</v>
      </c>
      <c r="F164" s="38">
        <f t="shared" ref="F164" si="52">SUM(F165:F169)</f>
        <v>101951</v>
      </c>
      <c r="G164" s="361">
        <f t="shared" si="44"/>
        <v>85.601175482787568</v>
      </c>
    </row>
    <row r="165" spans="2:7" x14ac:dyDescent="0.2">
      <c r="B165" s="15">
        <f t="shared" si="45"/>
        <v>157</v>
      </c>
      <c r="C165" s="308">
        <v>223001</v>
      </c>
      <c r="D165" s="29" t="s">
        <v>391</v>
      </c>
      <c r="E165" s="30">
        <f>32000-7000</f>
        <v>25000</v>
      </c>
      <c r="F165" s="30">
        <v>17876</v>
      </c>
      <c r="G165" s="361">
        <f t="shared" si="44"/>
        <v>71.504000000000005</v>
      </c>
    </row>
    <row r="166" spans="2:7" x14ac:dyDescent="0.2">
      <c r="B166" s="15">
        <f t="shared" si="45"/>
        <v>158</v>
      </c>
      <c r="C166" s="308">
        <v>223002</v>
      </c>
      <c r="D166" s="29" t="s">
        <v>69</v>
      </c>
      <c r="E166" s="30">
        <f>77000-7000</f>
        <v>70000</v>
      </c>
      <c r="F166" s="30">
        <v>57858</v>
      </c>
      <c r="G166" s="361">
        <f t="shared" si="44"/>
        <v>82.65428571428572</v>
      </c>
    </row>
    <row r="167" spans="2:7" x14ac:dyDescent="0.2">
      <c r="B167" s="15">
        <f t="shared" si="45"/>
        <v>159</v>
      </c>
      <c r="C167" s="308">
        <v>223003</v>
      </c>
      <c r="D167" s="29" t="s">
        <v>314</v>
      </c>
      <c r="E167" s="30">
        <v>8900</v>
      </c>
      <c r="F167" s="30">
        <v>17468</v>
      </c>
      <c r="G167" s="361">
        <f t="shared" si="44"/>
        <v>196.2696629213483</v>
      </c>
    </row>
    <row r="168" spans="2:7" x14ac:dyDescent="0.2">
      <c r="B168" s="15">
        <f t="shared" si="45"/>
        <v>160</v>
      </c>
      <c r="C168" s="308">
        <v>223003</v>
      </c>
      <c r="D168" s="29" t="s">
        <v>315</v>
      </c>
      <c r="E168" s="30">
        <v>1200</v>
      </c>
      <c r="F168" s="30">
        <v>1290</v>
      </c>
      <c r="G168" s="361">
        <f t="shared" si="44"/>
        <v>107.5</v>
      </c>
    </row>
    <row r="169" spans="2:7" x14ac:dyDescent="0.2">
      <c r="B169" s="15">
        <f t="shared" si="45"/>
        <v>161</v>
      </c>
      <c r="C169" s="308">
        <v>223003</v>
      </c>
      <c r="D169" s="29" t="s">
        <v>588</v>
      </c>
      <c r="E169" s="30">
        <v>14000</v>
      </c>
      <c r="F169" s="30">
        <v>7459</v>
      </c>
      <c r="G169" s="361">
        <f t="shared" si="44"/>
        <v>53.278571428571432</v>
      </c>
    </row>
    <row r="170" spans="2:7" x14ac:dyDescent="0.2">
      <c r="B170" s="15">
        <f t="shared" si="45"/>
        <v>162</v>
      </c>
      <c r="C170" s="310"/>
      <c r="D170" s="37" t="s">
        <v>316</v>
      </c>
      <c r="E170" s="38">
        <f>E171</f>
        <v>5200</v>
      </c>
      <c r="F170" s="38">
        <f t="shared" ref="F170" si="53">F171</f>
        <v>3026</v>
      </c>
      <c r="G170" s="361">
        <f t="shared" si="44"/>
        <v>58.192307692307686</v>
      </c>
    </row>
    <row r="171" spans="2:7" x14ac:dyDescent="0.2">
      <c r="B171" s="15">
        <f t="shared" si="45"/>
        <v>163</v>
      </c>
      <c r="C171" s="308">
        <v>223001</v>
      </c>
      <c r="D171" s="29" t="s">
        <v>238</v>
      </c>
      <c r="E171" s="30">
        <v>5200</v>
      </c>
      <c r="F171" s="30">
        <v>3026</v>
      </c>
      <c r="G171" s="361">
        <f t="shared" si="44"/>
        <v>58.192307692307686</v>
      </c>
    </row>
    <row r="172" spans="2:7" x14ac:dyDescent="0.2">
      <c r="B172" s="15">
        <f t="shared" si="45"/>
        <v>164</v>
      </c>
      <c r="C172" s="310"/>
      <c r="D172" s="37" t="s">
        <v>107</v>
      </c>
      <c r="E172" s="38">
        <f>E173</f>
        <v>5000</v>
      </c>
      <c r="F172" s="38">
        <f t="shared" ref="F172" si="54">F173</f>
        <v>2040</v>
      </c>
      <c r="G172" s="361">
        <f t="shared" si="44"/>
        <v>40.799999999999997</v>
      </c>
    </row>
    <row r="173" spans="2:7" x14ac:dyDescent="0.2">
      <c r="B173" s="15">
        <f t="shared" si="45"/>
        <v>165</v>
      </c>
      <c r="C173" s="308">
        <v>223001</v>
      </c>
      <c r="D173" s="29" t="s">
        <v>238</v>
      </c>
      <c r="E173" s="30">
        <v>5000</v>
      </c>
      <c r="F173" s="30">
        <v>2040</v>
      </c>
      <c r="G173" s="361">
        <f t="shared" si="44"/>
        <v>40.799999999999997</v>
      </c>
    </row>
    <row r="174" spans="2:7" x14ac:dyDescent="0.2">
      <c r="B174" s="15">
        <f t="shared" si="45"/>
        <v>166</v>
      </c>
      <c r="C174" s="310"/>
      <c r="D174" s="37" t="s">
        <v>318</v>
      </c>
      <c r="E174" s="38">
        <f>E175</f>
        <v>6500</v>
      </c>
      <c r="F174" s="38">
        <f t="shared" ref="F174" si="55">F175</f>
        <v>5630</v>
      </c>
      <c r="G174" s="361">
        <f t="shared" si="44"/>
        <v>86.615384615384613</v>
      </c>
    </row>
    <row r="175" spans="2:7" x14ac:dyDescent="0.2">
      <c r="B175" s="15">
        <f t="shared" si="45"/>
        <v>167</v>
      </c>
      <c r="C175" s="308">
        <v>223001</v>
      </c>
      <c r="D175" s="29" t="s">
        <v>317</v>
      </c>
      <c r="E175" s="30">
        <v>6500</v>
      </c>
      <c r="F175" s="30">
        <v>5630</v>
      </c>
      <c r="G175" s="361">
        <f t="shared" si="44"/>
        <v>86.615384615384613</v>
      </c>
    </row>
    <row r="176" spans="2:7" x14ac:dyDescent="0.2">
      <c r="B176" s="15">
        <f t="shared" si="45"/>
        <v>168</v>
      </c>
      <c r="C176" s="310"/>
      <c r="D176" s="37" t="s">
        <v>58</v>
      </c>
      <c r="E176" s="38">
        <f>SUM(E177:E181)</f>
        <v>416600</v>
      </c>
      <c r="F176" s="38">
        <f t="shared" ref="F176" si="56">SUM(F177:F181)</f>
        <v>375668</v>
      </c>
      <c r="G176" s="361">
        <f t="shared" si="44"/>
        <v>90.174747959673553</v>
      </c>
    </row>
    <row r="177" spans="2:8" x14ac:dyDescent="0.2">
      <c r="B177" s="15">
        <f t="shared" si="45"/>
        <v>169</v>
      </c>
      <c r="C177" s="308">
        <v>212003</v>
      </c>
      <c r="D177" s="29" t="s">
        <v>236</v>
      </c>
      <c r="E177" s="30">
        <v>70</v>
      </c>
      <c r="F177" s="30">
        <v>39</v>
      </c>
      <c r="G177" s="361">
        <f t="shared" si="44"/>
        <v>55.714285714285715</v>
      </c>
    </row>
    <row r="178" spans="2:8" s="22" customFormat="1" x14ac:dyDescent="0.2">
      <c r="B178" s="15">
        <f t="shared" si="45"/>
        <v>170</v>
      </c>
      <c r="C178" s="313">
        <v>223001</v>
      </c>
      <c r="D178" s="41" t="s">
        <v>319</v>
      </c>
      <c r="E178" s="30">
        <v>58500</v>
      </c>
      <c r="F178" s="30">
        <v>60871</v>
      </c>
      <c r="G178" s="361">
        <f t="shared" si="44"/>
        <v>104.05299145299145</v>
      </c>
      <c r="H178" s="21"/>
    </row>
    <row r="179" spans="2:8" x14ac:dyDescent="0.2">
      <c r="B179" s="15">
        <f t="shared" si="45"/>
        <v>171</v>
      </c>
      <c r="C179" s="308">
        <v>223001</v>
      </c>
      <c r="D179" s="29" t="s">
        <v>317</v>
      </c>
      <c r="E179" s="30">
        <v>179000</v>
      </c>
      <c r="F179" s="30">
        <v>151345</v>
      </c>
      <c r="G179" s="361">
        <f t="shared" si="44"/>
        <v>84.550279329608941</v>
      </c>
    </row>
    <row r="180" spans="2:8" x14ac:dyDescent="0.2">
      <c r="B180" s="15">
        <f t="shared" si="45"/>
        <v>172</v>
      </c>
      <c r="C180" s="308">
        <v>223001</v>
      </c>
      <c r="D180" s="29" t="s">
        <v>320</v>
      </c>
      <c r="E180" s="30">
        <f>125000+40000</f>
        <v>165000</v>
      </c>
      <c r="F180" s="30">
        <v>152436</v>
      </c>
      <c r="G180" s="361">
        <f t="shared" si="44"/>
        <v>92.38545454545455</v>
      </c>
    </row>
    <row r="181" spans="2:8" x14ac:dyDescent="0.2">
      <c r="B181" s="15">
        <f t="shared" si="45"/>
        <v>173</v>
      </c>
      <c r="C181" s="308">
        <v>223001</v>
      </c>
      <c r="D181" s="29" t="s">
        <v>444</v>
      </c>
      <c r="E181" s="30">
        <v>14030</v>
      </c>
      <c r="F181" s="30">
        <v>10977</v>
      </c>
      <c r="G181" s="361">
        <f t="shared" si="44"/>
        <v>78.239486813970061</v>
      </c>
    </row>
    <row r="182" spans="2:8" ht="25.5" x14ac:dyDescent="0.2">
      <c r="B182" s="15">
        <f t="shared" si="45"/>
        <v>174</v>
      </c>
      <c r="C182" s="310"/>
      <c r="D182" s="42" t="s">
        <v>322</v>
      </c>
      <c r="E182" s="43">
        <f>SUM(E183:E187)</f>
        <v>452600</v>
      </c>
      <c r="F182" s="43">
        <f t="shared" ref="F182" si="57">SUM(F183:F187)</f>
        <v>396037</v>
      </c>
      <c r="G182" s="361">
        <f t="shared" si="44"/>
        <v>87.502651347768449</v>
      </c>
    </row>
    <row r="183" spans="2:8" x14ac:dyDescent="0.2">
      <c r="B183" s="15">
        <f t="shared" si="45"/>
        <v>175</v>
      </c>
      <c r="C183" s="308">
        <v>212003</v>
      </c>
      <c r="D183" s="29" t="s">
        <v>236</v>
      </c>
      <c r="E183" s="30">
        <v>400</v>
      </c>
      <c r="F183" s="30">
        <v>70</v>
      </c>
      <c r="G183" s="361">
        <f t="shared" si="44"/>
        <v>17.5</v>
      </c>
    </row>
    <row r="184" spans="2:8" x14ac:dyDescent="0.2">
      <c r="B184" s="15">
        <f t="shared" si="45"/>
        <v>176</v>
      </c>
      <c r="C184" s="308">
        <v>223001</v>
      </c>
      <c r="D184" s="29" t="s">
        <v>317</v>
      </c>
      <c r="E184" s="30">
        <v>117000</v>
      </c>
      <c r="F184" s="30">
        <v>103785</v>
      </c>
      <c r="G184" s="361">
        <f t="shared" si="44"/>
        <v>88.705128205128204</v>
      </c>
    </row>
    <row r="185" spans="2:8" x14ac:dyDescent="0.2">
      <c r="B185" s="15">
        <f t="shared" si="45"/>
        <v>177</v>
      </c>
      <c r="C185" s="308">
        <v>223001</v>
      </c>
      <c r="D185" s="29" t="s">
        <v>320</v>
      </c>
      <c r="E185" s="30">
        <f>156200+50000</f>
        <v>206200</v>
      </c>
      <c r="F185" s="30">
        <v>181678</v>
      </c>
      <c r="G185" s="361">
        <f t="shared" si="44"/>
        <v>88.107662463627548</v>
      </c>
    </row>
    <row r="186" spans="2:8" x14ac:dyDescent="0.2">
      <c r="B186" s="15">
        <f t="shared" si="45"/>
        <v>178</v>
      </c>
      <c r="C186" s="308">
        <v>223001</v>
      </c>
      <c r="D186" s="29" t="s">
        <v>319</v>
      </c>
      <c r="E186" s="30">
        <v>117000</v>
      </c>
      <c r="F186" s="30">
        <v>100147</v>
      </c>
      <c r="G186" s="361">
        <f t="shared" si="44"/>
        <v>85.595726495726495</v>
      </c>
    </row>
    <row r="187" spans="2:8" x14ac:dyDescent="0.2">
      <c r="B187" s="15">
        <f t="shared" si="45"/>
        <v>179</v>
      </c>
      <c r="C187" s="308">
        <v>223001</v>
      </c>
      <c r="D187" s="29" t="s">
        <v>444</v>
      </c>
      <c r="E187" s="30">
        <v>12000</v>
      </c>
      <c r="F187" s="30">
        <v>10357</v>
      </c>
      <c r="G187" s="361">
        <f t="shared" si="44"/>
        <v>86.308333333333337</v>
      </c>
    </row>
    <row r="188" spans="2:8" x14ac:dyDescent="0.2">
      <c r="B188" s="15">
        <f t="shared" si="45"/>
        <v>180</v>
      </c>
      <c r="C188" s="310"/>
      <c r="D188" s="37" t="s">
        <v>323</v>
      </c>
      <c r="E188" s="38">
        <f>SUM(E189:E192)</f>
        <v>288200</v>
      </c>
      <c r="F188" s="38">
        <f t="shared" ref="F188" si="58">SUM(F189:F192)</f>
        <v>284613</v>
      </c>
      <c r="G188" s="361">
        <f t="shared" si="44"/>
        <v>98.755378209576676</v>
      </c>
    </row>
    <row r="189" spans="2:8" x14ac:dyDescent="0.2">
      <c r="B189" s="15">
        <f t="shared" si="45"/>
        <v>181</v>
      </c>
      <c r="C189" s="308">
        <v>223001</v>
      </c>
      <c r="D189" s="29" t="s">
        <v>317</v>
      </c>
      <c r="E189" s="30">
        <v>175000</v>
      </c>
      <c r="F189" s="30">
        <v>158805</v>
      </c>
      <c r="G189" s="361">
        <f t="shared" si="44"/>
        <v>90.745714285714286</v>
      </c>
    </row>
    <row r="190" spans="2:8" x14ac:dyDescent="0.2">
      <c r="B190" s="15">
        <f t="shared" si="45"/>
        <v>182</v>
      </c>
      <c r="C190" s="308">
        <v>223001</v>
      </c>
      <c r="D190" s="29" t="s">
        <v>321</v>
      </c>
      <c r="E190" s="30">
        <v>19000</v>
      </c>
      <c r="F190" s="30">
        <v>31193</v>
      </c>
      <c r="G190" s="361">
        <f t="shared" si="44"/>
        <v>164.17368421052632</v>
      </c>
    </row>
    <row r="191" spans="2:8" x14ac:dyDescent="0.2">
      <c r="B191" s="15">
        <f t="shared" si="45"/>
        <v>183</v>
      </c>
      <c r="C191" s="308">
        <v>223001</v>
      </c>
      <c r="D191" s="29" t="s">
        <v>320</v>
      </c>
      <c r="E191" s="30">
        <f>64400+20000</f>
        <v>84400</v>
      </c>
      <c r="F191" s="30">
        <v>84159</v>
      </c>
      <c r="G191" s="361">
        <f t="shared" si="44"/>
        <v>99.714454976303315</v>
      </c>
    </row>
    <row r="192" spans="2:8" x14ac:dyDescent="0.2">
      <c r="B192" s="15">
        <f t="shared" si="45"/>
        <v>184</v>
      </c>
      <c r="C192" s="308">
        <v>223001</v>
      </c>
      <c r="D192" s="29" t="s">
        <v>444</v>
      </c>
      <c r="E192" s="30">
        <v>9800</v>
      </c>
      <c r="F192" s="30">
        <v>10456</v>
      </c>
      <c r="G192" s="361">
        <f t="shared" si="44"/>
        <v>106.69387755102039</v>
      </c>
    </row>
    <row r="193" spans="2:7" x14ac:dyDescent="0.2">
      <c r="B193" s="15">
        <f t="shared" si="45"/>
        <v>185</v>
      </c>
      <c r="C193" s="310"/>
      <c r="D193" s="37" t="s">
        <v>327</v>
      </c>
      <c r="E193" s="38">
        <f>E194+E195</f>
        <v>292500</v>
      </c>
      <c r="F193" s="38">
        <f t="shared" ref="F193" si="59">F194+F195</f>
        <v>199748</v>
      </c>
      <c r="G193" s="361">
        <f t="shared" si="44"/>
        <v>68.289914529914526</v>
      </c>
    </row>
    <row r="194" spans="2:7" x14ac:dyDescent="0.2">
      <c r="B194" s="15">
        <f t="shared" si="45"/>
        <v>186</v>
      </c>
      <c r="C194" s="308">
        <v>223001</v>
      </c>
      <c r="D194" s="29" t="s">
        <v>324</v>
      </c>
      <c r="E194" s="30">
        <v>290000</v>
      </c>
      <c r="F194" s="30">
        <v>199527</v>
      </c>
      <c r="G194" s="361">
        <f t="shared" si="44"/>
        <v>68.80241379310344</v>
      </c>
    </row>
    <row r="195" spans="2:7" x14ac:dyDescent="0.2">
      <c r="B195" s="15">
        <f t="shared" si="45"/>
        <v>187</v>
      </c>
      <c r="C195" s="308">
        <v>223001</v>
      </c>
      <c r="D195" s="29" t="s">
        <v>325</v>
      </c>
      <c r="E195" s="30">
        <v>2500</v>
      </c>
      <c r="F195" s="30">
        <v>221</v>
      </c>
      <c r="G195" s="361">
        <f t="shared" si="44"/>
        <v>8.84</v>
      </c>
    </row>
    <row r="196" spans="2:7" x14ac:dyDescent="0.2">
      <c r="B196" s="15">
        <f t="shared" si="45"/>
        <v>188</v>
      </c>
      <c r="C196" s="310"/>
      <c r="D196" s="37" t="s">
        <v>326</v>
      </c>
      <c r="E196" s="38">
        <f>E197</f>
        <v>17500</v>
      </c>
      <c r="F196" s="38">
        <f t="shared" ref="F196" si="60">F197</f>
        <v>15444</v>
      </c>
      <c r="G196" s="361">
        <f t="shared" si="44"/>
        <v>88.251428571428576</v>
      </c>
    </row>
    <row r="197" spans="2:7" ht="13.5" thickBot="1" x14ac:dyDescent="0.25">
      <c r="B197" s="15">
        <f t="shared" si="45"/>
        <v>189</v>
      </c>
      <c r="C197" s="311">
        <v>223001</v>
      </c>
      <c r="D197" s="39" t="s">
        <v>238</v>
      </c>
      <c r="E197" s="40">
        <v>17500</v>
      </c>
      <c r="F197" s="40">
        <v>15444</v>
      </c>
      <c r="G197" s="361">
        <f t="shared" si="44"/>
        <v>88.251428571428576</v>
      </c>
    </row>
    <row r="198" spans="2:7" ht="15.75" thickBot="1" x14ac:dyDescent="0.3">
      <c r="B198" s="15">
        <f t="shared" si="45"/>
        <v>190</v>
      </c>
      <c r="C198" s="312">
        <v>6</v>
      </c>
      <c r="D198" s="33" t="s">
        <v>284</v>
      </c>
      <c r="E198" s="34">
        <f>E199+E201+E205</f>
        <v>83667</v>
      </c>
      <c r="F198" s="34">
        <f t="shared" ref="F198" si="61">F199+F201+F205</f>
        <v>86151</v>
      </c>
      <c r="G198" s="361">
        <f t="shared" si="44"/>
        <v>102.9689124744523</v>
      </c>
    </row>
    <row r="199" spans="2:7" x14ac:dyDescent="0.2">
      <c r="B199" s="15">
        <f t="shared" si="45"/>
        <v>191</v>
      </c>
      <c r="C199" s="309">
        <v>210</v>
      </c>
      <c r="D199" s="35" t="s">
        <v>235</v>
      </c>
      <c r="E199" s="36">
        <f>E200</f>
        <v>1350</v>
      </c>
      <c r="F199" s="36">
        <f t="shared" ref="F199" si="62">F200</f>
        <v>1328</v>
      </c>
      <c r="G199" s="361">
        <f t="shared" si="44"/>
        <v>98.370370370370381</v>
      </c>
    </row>
    <row r="200" spans="2:7" x14ac:dyDescent="0.2">
      <c r="B200" s="15">
        <f t="shared" si="45"/>
        <v>192</v>
      </c>
      <c r="C200" s="308">
        <v>212003</v>
      </c>
      <c r="D200" s="29" t="s">
        <v>236</v>
      </c>
      <c r="E200" s="30">
        <v>1350</v>
      </c>
      <c r="F200" s="30">
        <v>1328</v>
      </c>
      <c r="G200" s="361">
        <f t="shared" si="44"/>
        <v>98.370370370370381</v>
      </c>
    </row>
    <row r="201" spans="2:7" x14ac:dyDescent="0.2">
      <c r="B201" s="15">
        <f t="shared" si="45"/>
        <v>193</v>
      </c>
      <c r="C201" s="310">
        <v>220</v>
      </c>
      <c r="D201" s="37" t="s">
        <v>210</v>
      </c>
      <c r="E201" s="38">
        <f>SUM(E202:E204)</f>
        <v>81917</v>
      </c>
      <c r="F201" s="38">
        <f t="shared" ref="F201" si="63">SUM(F202:F204)</f>
        <v>83545</v>
      </c>
      <c r="G201" s="361">
        <f t="shared" si="44"/>
        <v>101.98737746743656</v>
      </c>
    </row>
    <row r="202" spans="2:7" x14ac:dyDescent="0.2">
      <c r="B202" s="15">
        <f t="shared" si="45"/>
        <v>194</v>
      </c>
      <c r="C202" s="308">
        <v>223001</v>
      </c>
      <c r="D202" s="29" t="s">
        <v>238</v>
      </c>
      <c r="E202" s="30">
        <v>38560</v>
      </c>
      <c r="F202" s="30">
        <v>33964</v>
      </c>
      <c r="G202" s="361">
        <f t="shared" si="44"/>
        <v>88.080912863070537</v>
      </c>
    </row>
    <row r="203" spans="2:7" x14ac:dyDescent="0.2">
      <c r="B203" s="15">
        <f t="shared" si="45"/>
        <v>195</v>
      </c>
      <c r="C203" s="308">
        <v>223002</v>
      </c>
      <c r="D203" s="29" t="s">
        <v>69</v>
      </c>
      <c r="E203" s="30">
        <f>25080+1464</f>
        <v>26544</v>
      </c>
      <c r="F203" s="30">
        <v>30155</v>
      </c>
      <c r="G203" s="361">
        <f t="shared" si="44"/>
        <v>113.60382760699217</v>
      </c>
    </row>
    <row r="204" spans="2:7" x14ac:dyDescent="0.2">
      <c r="B204" s="15">
        <f t="shared" si="45"/>
        <v>196</v>
      </c>
      <c r="C204" s="308">
        <v>223003</v>
      </c>
      <c r="D204" s="29" t="s">
        <v>70</v>
      </c>
      <c r="E204" s="30">
        <f>15000+1813</f>
        <v>16813</v>
      </c>
      <c r="F204" s="30">
        <v>19426</v>
      </c>
      <c r="G204" s="361">
        <f t="shared" si="44"/>
        <v>115.54154523285554</v>
      </c>
    </row>
    <row r="205" spans="2:7" x14ac:dyDescent="0.2">
      <c r="B205" s="15">
        <f t="shared" si="45"/>
        <v>197</v>
      </c>
      <c r="C205" s="310">
        <v>290</v>
      </c>
      <c r="D205" s="37" t="s">
        <v>168</v>
      </c>
      <c r="E205" s="38">
        <f>SUM(E206:E206)</f>
        <v>400</v>
      </c>
      <c r="F205" s="38">
        <f t="shared" ref="F205" si="64">SUM(F206:F206)</f>
        <v>1278</v>
      </c>
      <c r="G205" s="361">
        <f t="shared" si="44"/>
        <v>319.5</v>
      </c>
    </row>
    <row r="206" spans="2:7" ht="13.5" thickBot="1" x14ac:dyDescent="0.25">
      <c r="B206" s="15">
        <f t="shared" si="45"/>
        <v>198</v>
      </c>
      <c r="C206" s="308">
        <v>292012</v>
      </c>
      <c r="D206" s="29" t="s">
        <v>220</v>
      </c>
      <c r="E206" s="30">
        <v>400</v>
      </c>
      <c r="F206" s="30">
        <v>1278</v>
      </c>
      <c r="G206" s="361">
        <f t="shared" si="44"/>
        <v>319.5</v>
      </c>
    </row>
    <row r="207" spans="2:7" ht="15.75" thickBot="1" x14ac:dyDescent="0.3">
      <c r="B207" s="15">
        <f t="shared" si="45"/>
        <v>199</v>
      </c>
      <c r="C207" s="312">
        <v>7</v>
      </c>
      <c r="D207" s="33" t="s">
        <v>286</v>
      </c>
      <c r="E207" s="34">
        <f>E211+E208</f>
        <v>136243</v>
      </c>
      <c r="F207" s="34">
        <f t="shared" ref="F207" si="65">F211+F208</f>
        <v>140633</v>
      </c>
      <c r="G207" s="361">
        <f t="shared" si="44"/>
        <v>103.22218389201647</v>
      </c>
    </row>
    <row r="208" spans="2:7" x14ac:dyDescent="0.2">
      <c r="B208" s="15">
        <f t="shared" si="45"/>
        <v>200</v>
      </c>
      <c r="C208" s="309">
        <v>210</v>
      </c>
      <c r="D208" s="35" t="s">
        <v>235</v>
      </c>
      <c r="E208" s="36">
        <f>E209+E210</f>
        <v>2430</v>
      </c>
      <c r="F208" s="36">
        <f t="shared" ref="F208" si="66">F209+F210</f>
        <v>2099</v>
      </c>
      <c r="G208" s="361">
        <f t="shared" ref="G208:G271" si="67">F208/E208*100</f>
        <v>86.378600823045275</v>
      </c>
    </row>
    <row r="209" spans="2:7" x14ac:dyDescent="0.2">
      <c r="B209" s="15">
        <f t="shared" si="45"/>
        <v>201</v>
      </c>
      <c r="C209" s="308">
        <v>212003</v>
      </c>
      <c r="D209" s="29" t="s">
        <v>236</v>
      </c>
      <c r="E209" s="30">
        <v>830</v>
      </c>
      <c r="F209" s="30">
        <v>499</v>
      </c>
      <c r="G209" s="361">
        <f t="shared" si="67"/>
        <v>60.120481927710841</v>
      </c>
    </row>
    <row r="210" spans="2:7" x14ac:dyDescent="0.2">
      <c r="B210" s="15">
        <f t="shared" si="45"/>
        <v>202</v>
      </c>
      <c r="C210" s="308">
        <v>212004</v>
      </c>
      <c r="D210" s="29" t="s">
        <v>237</v>
      </c>
      <c r="E210" s="30">
        <f>1200+400</f>
        <v>1600</v>
      </c>
      <c r="F210" s="30">
        <v>1600</v>
      </c>
      <c r="G210" s="361">
        <f t="shared" si="67"/>
        <v>100</v>
      </c>
    </row>
    <row r="211" spans="2:7" x14ac:dyDescent="0.2">
      <c r="B211" s="15">
        <f t="shared" si="45"/>
        <v>203</v>
      </c>
      <c r="C211" s="310">
        <v>220</v>
      </c>
      <c r="D211" s="37" t="s">
        <v>210</v>
      </c>
      <c r="E211" s="38">
        <f>SUM(E212:E214)</f>
        <v>133813</v>
      </c>
      <c r="F211" s="38">
        <f t="shared" ref="F211" si="68">SUM(F212:F214)</f>
        <v>138534</v>
      </c>
      <c r="G211" s="361">
        <f t="shared" si="67"/>
        <v>103.52805781202126</v>
      </c>
    </row>
    <row r="212" spans="2:7" x14ac:dyDescent="0.2">
      <c r="B212" s="15">
        <f t="shared" si="45"/>
        <v>204</v>
      </c>
      <c r="C212" s="308">
        <v>223001</v>
      </c>
      <c r="D212" s="29" t="s">
        <v>238</v>
      </c>
      <c r="E212" s="30">
        <v>41200</v>
      </c>
      <c r="F212" s="30">
        <v>45216</v>
      </c>
      <c r="G212" s="361">
        <f t="shared" si="67"/>
        <v>109.74757281553397</v>
      </c>
    </row>
    <row r="213" spans="2:7" x14ac:dyDescent="0.2">
      <c r="B213" s="15">
        <f t="shared" si="45"/>
        <v>205</v>
      </c>
      <c r="C213" s="308">
        <v>223002</v>
      </c>
      <c r="D213" s="29" t="s">
        <v>69</v>
      </c>
      <c r="E213" s="30">
        <f>38250+2048</f>
        <v>40298</v>
      </c>
      <c r="F213" s="30">
        <v>41003</v>
      </c>
      <c r="G213" s="361">
        <f t="shared" si="67"/>
        <v>101.74946647476301</v>
      </c>
    </row>
    <row r="214" spans="2:7" ht="13.5" thickBot="1" x14ac:dyDescent="0.25">
      <c r="B214" s="15">
        <f t="shared" si="45"/>
        <v>206</v>
      </c>
      <c r="C214" s="308">
        <v>223003</v>
      </c>
      <c r="D214" s="29" t="s">
        <v>70</v>
      </c>
      <c r="E214" s="44">
        <f>39700+2615+10000</f>
        <v>52315</v>
      </c>
      <c r="F214" s="44">
        <v>52315</v>
      </c>
      <c r="G214" s="361">
        <f t="shared" si="67"/>
        <v>100</v>
      </c>
    </row>
    <row r="215" spans="2:7" ht="15.75" thickBot="1" x14ac:dyDescent="0.3">
      <c r="B215" s="15">
        <f t="shared" si="45"/>
        <v>207</v>
      </c>
      <c r="C215" s="314">
        <v>8</v>
      </c>
      <c r="D215" s="45" t="s">
        <v>6</v>
      </c>
      <c r="E215" s="46">
        <f>E216+E219</f>
        <v>81555</v>
      </c>
      <c r="F215" s="46">
        <f t="shared" ref="F215" si="69">F216+F219</f>
        <v>90600</v>
      </c>
      <c r="G215" s="361">
        <f t="shared" si="67"/>
        <v>111.09067500459813</v>
      </c>
    </row>
    <row r="216" spans="2:7" x14ac:dyDescent="0.2">
      <c r="B216" s="15">
        <f t="shared" ref="B216:B313" si="70">B215+1</f>
        <v>208</v>
      </c>
      <c r="C216" s="309">
        <v>210</v>
      </c>
      <c r="D216" s="35" t="s">
        <v>235</v>
      </c>
      <c r="E216" s="36">
        <f>E217+E218</f>
        <v>32555</v>
      </c>
      <c r="F216" s="36">
        <f t="shared" ref="F216" si="71">F217+F218</f>
        <v>34158</v>
      </c>
      <c r="G216" s="361">
        <f t="shared" si="67"/>
        <v>104.92397481185687</v>
      </c>
    </row>
    <row r="217" spans="2:7" x14ac:dyDescent="0.2">
      <c r="B217" s="15">
        <f t="shared" si="70"/>
        <v>209</v>
      </c>
      <c r="C217" s="308">
        <v>212003</v>
      </c>
      <c r="D217" s="29" t="s">
        <v>236</v>
      </c>
      <c r="E217" s="30">
        <f>2240+4120+251+4035+1273+11634+8200+2</f>
        <v>31755</v>
      </c>
      <c r="F217" s="30">
        <v>33358</v>
      </c>
      <c r="G217" s="361">
        <f t="shared" si="67"/>
        <v>105.04802393323887</v>
      </c>
    </row>
    <row r="218" spans="2:7" x14ac:dyDescent="0.2">
      <c r="B218" s="15">
        <f t="shared" si="70"/>
        <v>210</v>
      </c>
      <c r="C218" s="308">
        <v>212004</v>
      </c>
      <c r="D218" s="29" t="s">
        <v>237</v>
      </c>
      <c r="E218" s="30">
        <f>600+200</f>
        <v>800</v>
      </c>
      <c r="F218" s="30">
        <v>800</v>
      </c>
      <c r="G218" s="361">
        <f t="shared" si="67"/>
        <v>100</v>
      </c>
    </row>
    <row r="219" spans="2:7" x14ac:dyDescent="0.2">
      <c r="B219" s="15">
        <f t="shared" si="70"/>
        <v>211</v>
      </c>
      <c r="C219" s="310">
        <v>220</v>
      </c>
      <c r="D219" s="37" t="s">
        <v>210</v>
      </c>
      <c r="E219" s="38">
        <f>E220</f>
        <v>49000</v>
      </c>
      <c r="F219" s="38">
        <f t="shared" ref="F219" si="72">F220</f>
        <v>56442</v>
      </c>
      <c r="G219" s="361">
        <f t="shared" si="67"/>
        <v>115.18775510204082</v>
      </c>
    </row>
    <row r="220" spans="2:7" ht="13.5" thickBot="1" x14ac:dyDescent="0.25">
      <c r="B220" s="15">
        <f t="shared" si="70"/>
        <v>212</v>
      </c>
      <c r="C220" s="308">
        <v>223002</v>
      </c>
      <c r="D220" s="29" t="s">
        <v>69</v>
      </c>
      <c r="E220" s="30">
        <f>46400+2600</f>
        <v>49000</v>
      </c>
      <c r="F220" s="30">
        <v>56442</v>
      </c>
      <c r="G220" s="361">
        <f t="shared" si="67"/>
        <v>115.18775510204082</v>
      </c>
    </row>
    <row r="221" spans="2:7" ht="15.75" thickBot="1" x14ac:dyDescent="0.3">
      <c r="B221" s="15">
        <f t="shared" si="70"/>
        <v>213</v>
      </c>
      <c r="C221" s="312">
        <v>9</v>
      </c>
      <c r="D221" s="33" t="s">
        <v>4</v>
      </c>
      <c r="E221" s="34">
        <f>E224+E222+E228</f>
        <v>179309</v>
      </c>
      <c r="F221" s="34">
        <f t="shared" ref="F221" si="73">F224+F222+F228</f>
        <v>192303</v>
      </c>
      <c r="G221" s="361">
        <f t="shared" si="67"/>
        <v>107.24670819646531</v>
      </c>
    </row>
    <row r="222" spans="2:7" x14ac:dyDescent="0.2">
      <c r="B222" s="15">
        <f t="shared" si="70"/>
        <v>214</v>
      </c>
      <c r="C222" s="309">
        <v>210</v>
      </c>
      <c r="D222" s="35" t="s">
        <v>235</v>
      </c>
      <c r="E222" s="36">
        <f>E223</f>
        <v>7800</v>
      </c>
      <c r="F222" s="36">
        <f t="shared" ref="F222" si="74">F223</f>
        <v>7852</v>
      </c>
      <c r="G222" s="361">
        <f t="shared" si="67"/>
        <v>100.66666666666666</v>
      </c>
    </row>
    <row r="223" spans="2:7" x14ac:dyDescent="0.2">
      <c r="B223" s="15">
        <f t="shared" si="70"/>
        <v>215</v>
      </c>
      <c r="C223" s="308">
        <v>212003</v>
      </c>
      <c r="D223" s="29" t="s">
        <v>236</v>
      </c>
      <c r="E223" s="30">
        <v>7800</v>
      </c>
      <c r="F223" s="30">
        <v>7852</v>
      </c>
      <c r="G223" s="361">
        <f t="shared" si="67"/>
        <v>100.66666666666666</v>
      </c>
    </row>
    <row r="224" spans="2:7" x14ac:dyDescent="0.2">
      <c r="B224" s="15">
        <f t="shared" si="70"/>
        <v>216</v>
      </c>
      <c r="C224" s="310">
        <v>220</v>
      </c>
      <c r="D224" s="37" t="s">
        <v>210</v>
      </c>
      <c r="E224" s="38">
        <f>SUM(E225:E227)</f>
        <v>122482</v>
      </c>
      <c r="F224" s="38">
        <f t="shared" ref="F224" si="75">SUM(F225:F227)</f>
        <v>135424</v>
      </c>
      <c r="G224" s="361">
        <f t="shared" si="67"/>
        <v>110.56645058049345</v>
      </c>
    </row>
    <row r="225" spans="2:7" x14ac:dyDescent="0.2">
      <c r="B225" s="15">
        <f t="shared" si="70"/>
        <v>217</v>
      </c>
      <c r="C225" s="308">
        <v>223001</v>
      </c>
      <c r="D225" s="29" t="s">
        <v>238</v>
      </c>
      <c r="E225" s="30">
        <f>41256+4</f>
        <v>41260</v>
      </c>
      <c r="F225" s="30">
        <v>56882</v>
      </c>
      <c r="G225" s="361">
        <f t="shared" si="67"/>
        <v>137.86233640329618</v>
      </c>
    </row>
    <row r="226" spans="2:7" x14ac:dyDescent="0.2">
      <c r="B226" s="15">
        <f t="shared" si="70"/>
        <v>218</v>
      </c>
      <c r="C226" s="308">
        <v>223002</v>
      </c>
      <c r="D226" s="29" t="s">
        <v>69</v>
      </c>
      <c r="E226" s="30">
        <f>42750+2464</f>
        <v>45214</v>
      </c>
      <c r="F226" s="30">
        <v>42378</v>
      </c>
      <c r="G226" s="361">
        <f t="shared" si="67"/>
        <v>93.72760649356394</v>
      </c>
    </row>
    <row r="227" spans="2:7" x14ac:dyDescent="0.2">
      <c r="B227" s="15">
        <f t="shared" si="70"/>
        <v>219</v>
      </c>
      <c r="C227" s="308">
        <v>223003</v>
      </c>
      <c r="D227" s="29" t="s">
        <v>70</v>
      </c>
      <c r="E227" s="30">
        <f>34380+1628</f>
        <v>36008</v>
      </c>
      <c r="F227" s="30">
        <v>36164</v>
      </c>
      <c r="G227" s="361">
        <f t="shared" si="67"/>
        <v>100.43323705843146</v>
      </c>
    </row>
    <row r="228" spans="2:7" x14ac:dyDescent="0.2">
      <c r="B228" s="15">
        <f t="shared" si="70"/>
        <v>220</v>
      </c>
      <c r="C228" s="37">
        <v>290</v>
      </c>
      <c r="D228" s="37" t="s">
        <v>168</v>
      </c>
      <c r="E228" s="38">
        <f>SUM(E229:E230)</f>
        <v>49027</v>
      </c>
      <c r="F228" s="38">
        <f t="shared" ref="F228" si="76">SUM(F229:F230)</f>
        <v>49027</v>
      </c>
      <c r="G228" s="361">
        <f t="shared" si="67"/>
        <v>100</v>
      </c>
    </row>
    <row r="229" spans="2:7" x14ac:dyDescent="0.2">
      <c r="B229" s="15">
        <f t="shared" si="70"/>
        <v>221</v>
      </c>
      <c r="C229" s="29">
        <v>292012</v>
      </c>
      <c r="D229" s="29" t="s">
        <v>220</v>
      </c>
      <c r="E229" s="30">
        <v>16794</v>
      </c>
      <c r="F229" s="30">
        <v>16794</v>
      </c>
      <c r="G229" s="361">
        <f t="shared" si="67"/>
        <v>100</v>
      </c>
    </row>
    <row r="230" spans="2:7" ht="13.5" thickBot="1" x14ac:dyDescent="0.25">
      <c r="B230" s="15">
        <f t="shared" si="70"/>
        <v>222</v>
      </c>
      <c r="C230" s="333">
        <v>292017</v>
      </c>
      <c r="D230" s="333" t="s">
        <v>221</v>
      </c>
      <c r="E230" s="334">
        <v>32233</v>
      </c>
      <c r="F230" s="334">
        <v>32233</v>
      </c>
      <c r="G230" s="361">
        <f t="shared" si="67"/>
        <v>100</v>
      </c>
    </row>
    <row r="231" spans="2:7" ht="15.75" thickBot="1" x14ac:dyDescent="0.3">
      <c r="B231" s="15">
        <f t="shared" si="70"/>
        <v>223</v>
      </c>
      <c r="C231" s="312">
        <v>10</v>
      </c>
      <c r="D231" s="33" t="s">
        <v>0</v>
      </c>
      <c r="E231" s="34">
        <f>E232+E235+E239</f>
        <v>220383</v>
      </c>
      <c r="F231" s="34">
        <f t="shared" ref="F231" si="77">F232+F235+F239</f>
        <v>208903</v>
      </c>
      <c r="G231" s="361">
        <f t="shared" si="67"/>
        <v>94.790886774388227</v>
      </c>
    </row>
    <row r="232" spans="2:7" x14ac:dyDescent="0.2">
      <c r="B232" s="15">
        <f t="shared" si="70"/>
        <v>224</v>
      </c>
      <c r="C232" s="309">
        <v>210</v>
      </c>
      <c r="D232" s="35" t="s">
        <v>235</v>
      </c>
      <c r="E232" s="36">
        <f>E233+E234</f>
        <v>14749</v>
      </c>
      <c r="F232" s="36">
        <f t="shared" ref="F232" si="78">F233+F234</f>
        <v>26256</v>
      </c>
      <c r="G232" s="361">
        <f t="shared" si="67"/>
        <v>178.01884873550748</v>
      </c>
    </row>
    <row r="233" spans="2:7" x14ac:dyDescent="0.2">
      <c r="B233" s="15">
        <f t="shared" si="70"/>
        <v>225</v>
      </c>
      <c r="C233" s="308">
        <v>212003</v>
      </c>
      <c r="D233" s="29" t="s">
        <v>236</v>
      </c>
      <c r="E233" s="30">
        <f>9000+5349</f>
        <v>14349</v>
      </c>
      <c r="F233" s="30">
        <v>25856</v>
      </c>
      <c r="G233" s="361">
        <f t="shared" si="67"/>
        <v>180.19374172416195</v>
      </c>
    </row>
    <row r="234" spans="2:7" x14ac:dyDescent="0.2">
      <c r="B234" s="15">
        <f t="shared" si="70"/>
        <v>226</v>
      </c>
      <c r="C234" s="308">
        <v>212004</v>
      </c>
      <c r="D234" s="29" t="s">
        <v>237</v>
      </c>
      <c r="E234" s="30">
        <f>300+100</f>
        <v>400</v>
      </c>
      <c r="F234" s="30">
        <v>400</v>
      </c>
      <c r="G234" s="361">
        <f t="shared" si="67"/>
        <v>100</v>
      </c>
    </row>
    <row r="235" spans="2:7" x14ac:dyDescent="0.2">
      <c r="B235" s="15">
        <f t="shared" si="70"/>
        <v>227</v>
      </c>
      <c r="C235" s="310">
        <v>220</v>
      </c>
      <c r="D235" s="37" t="s">
        <v>210</v>
      </c>
      <c r="E235" s="38">
        <f>SUM(E236:E238)</f>
        <v>205534</v>
      </c>
      <c r="F235" s="38">
        <f t="shared" ref="F235" si="79">SUM(F236:F238)</f>
        <v>182547</v>
      </c>
      <c r="G235" s="361">
        <f t="shared" si="67"/>
        <v>88.815962322535441</v>
      </c>
    </row>
    <row r="236" spans="2:7" x14ac:dyDescent="0.2">
      <c r="B236" s="15">
        <f t="shared" si="70"/>
        <v>228</v>
      </c>
      <c r="C236" s="308">
        <v>223001</v>
      </c>
      <c r="D236" s="29" t="s">
        <v>238</v>
      </c>
      <c r="E236" s="30">
        <v>68810</v>
      </c>
      <c r="F236" s="30">
        <v>66601</v>
      </c>
      <c r="G236" s="361">
        <f t="shared" si="67"/>
        <v>96.789710797849153</v>
      </c>
    </row>
    <row r="237" spans="2:7" x14ac:dyDescent="0.2">
      <c r="B237" s="15">
        <f t="shared" si="70"/>
        <v>229</v>
      </c>
      <c r="C237" s="308">
        <v>223002</v>
      </c>
      <c r="D237" s="29" t="s">
        <v>69</v>
      </c>
      <c r="E237" s="30">
        <f>21000+1208+1500</f>
        <v>23708</v>
      </c>
      <c r="F237" s="30">
        <v>27383</v>
      </c>
      <c r="G237" s="361">
        <f t="shared" si="67"/>
        <v>115.50109667622743</v>
      </c>
    </row>
    <row r="238" spans="2:7" x14ac:dyDescent="0.2">
      <c r="B238" s="15">
        <f t="shared" si="70"/>
        <v>230</v>
      </c>
      <c r="C238" s="308">
        <v>223003</v>
      </c>
      <c r="D238" s="29" t="s">
        <v>70</v>
      </c>
      <c r="E238" s="30">
        <f>111646+4+1366</f>
        <v>113016</v>
      </c>
      <c r="F238" s="30">
        <v>88563</v>
      </c>
      <c r="G238" s="361">
        <f t="shared" si="67"/>
        <v>78.363240603100451</v>
      </c>
    </row>
    <row r="239" spans="2:7" x14ac:dyDescent="0.2">
      <c r="B239" s="15">
        <f t="shared" si="70"/>
        <v>231</v>
      </c>
      <c r="C239" s="37">
        <v>290</v>
      </c>
      <c r="D239" s="37" t="s">
        <v>168</v>
      </c>
      <c r="E239" s="38">
        <f>E240</f>
        <v>100</v>
      </c>
      <c r="F239" s="38">
        <f t="shared" ref="F239" si="80">F240</f>
        <v>100</v>
      </c>
      <c r="G239" s="361">
        <f t="shared" si="67"/>
        <v>100</v>
      </c>
    </row>
    <row r="240" spans="2:7" ht="13.5" thickBot="1" x14ac:dyDescent="0.25">
      <c r="B240" s="15">
        <f t="shared" si="70"/>
        <v>232</v>
      </c>
      <c r="C240" s="333">
        <v>292017</v>
      </c>
      <c r="D240" s="333" t="s">
        <v>221</v>
      </c>
      <c r="E240" s="334">
        <v>100</v>
      </c>
      <c r="F240" s="334">
        <v>100</v>
      </c>
      <c r="G240" s="361">
        <f t="shared" si="67"/>
        <v>100</v>
      </c>
    </row>
    <row r="241" spans="2:7" ht="15.75" thickBot="1" x14ac:dyDescent="0.3">
      <c r="B241" s="15">
        <f t="shared" si="70"/>
        <v>233</v>
      </c>
      <c r="C241" s="312">
        <v>11</v>
      </c>
      <c r="D241" s="33" t="s">
        <v>7</v>
      </c>
      <c r="E241" s="34">
        <f>E242+E245</f>
        <v>268207</v>
      </c>
      <c r="F241" s="34">
        <f t="shared" ref="F241" si="81">F242+F245</f>
        <v>288722</v>
      </c>
      <c r="G241" s="361">
        <f t="shared" si="67"/>
        <v>107.64894279418509</v>
      </c>
    </row>
    <row r="242" spans="2:7" x14ac:dyDescent="0.2">
      <c r="B242" s="15">
        <f t="shared" si="70"/>
        <v>234</v>
      </c>
      <c r="C242" s="309">
        <v>210</v>
      </c>
      <c r="D242" s="35" t="s">
        <v>235</v>
      </c>
      <c r="E242" s="36">
        <f>E243+E244</f>
        <v>77330</v>
      </c>
      <c r="F242" s="36">
        <f t="shared" ref="F242" si="82">F243+F244</f>
        <v>76051</v>
      </c>
      <c r="G242" s="361">
        <f t="shared" si="67"/>
        <v>98.346049398680975</v>
      </c>
    </row>
    <row r="243" spans="2:7" x14ac:dyDescent="0.2">
      <c r="B243" s="15">
        <f t="shared" si="70"/>
        <v>235</v>
      </c>
      <c r="C243" s="308">
        <v>212003</v>
      </c>
      <c r="D243" s="29" t="s">
        <v>236</v>
      </c>
      <c r="E243" s="30">
        <f>60042+3+3007+12278</f>
        <v>75330</v>
      </c>
      <c r="F243" s="30">
        <v>74551</v>
      </c>
      <c r="G243" s="361">
        <f t="shared" si="67"/>
        <v>98.965883446170182</v>
      </c>
    </row>
    <row r="244" spans="2:7" x14ac:dyDescent="0.2">
      <c r="B244" s="15">
        <f t="shared" si="70"/>
        <v>236</v>
      </c>
      <c r="C244" s="308">
        <v>212004</v>
      </c>
      <c r="D244" s="29" t="s">
        <v>237</v>
      </c>
      <c r="E244" s="30">
        <f>1500+500</f>
        <v>2000</v>
      </c>
      <c r="F244" s="30">
        <v>1500</v>
      </c>
      <c r="G244" s="361">
        <f t="shared" si="67"/>
        <v>75</v>
      </c>
    </row>
    <row r="245" spans="2:7" x14ac:dyDescent="0.2">
      <c r="B245" s="15">
        <f t="shared" si="70"/>
        <v>237</v>
      </c>
      <c r="C245" s="310">
        <v>220</v>
      </c>
      <c r="D245" s="37" t="s">
        <v>210</v>
      </c>
      <c r="E245" s="38">
        <f>SUM(E246:E248)</f>
        <v>190877</v>
      </c>
      <c r="F245" s="38">
        <f t="shared" ref="F245" si="83">SUM(F246:F248)</f>
        <v>212671</v>
      </c>
      <c r="G245" s="361">
        <f t="shared" si="67"/>
        <v>111.41782404375593</v>
      </c>
    </row>
    <row r="246" spans="2:7" x14ac:dyDescent="0.2">
      <c r="B246" s="15">
        <f t="shared" si="70"/>
        <v>238</v>
      </c>
      <c r="C246" s="308">
        <v>223001</v>
      </c>
      <c r="D246" s="29" t="s">
        <v>238</v>
      </c>
      <c r="E246" s="30">
        <v>87890</v>
      </c>
      <c r="F246" s="30">
        <v>86188</v>
      </c>
      <c r="G246" s="361">
        <f t="shared" si="67"/>
        <v>98.063488451473432</v>
      </c>
    </row>
    <row r="247" spans="2:7" x14ac:dyDescent="0.2">
      <c r="B247" s="15">
        <f t="shared" si="70"/>
        <v>239</v>
      </c>
      <c r="C247" s="308">
        <v>223002</v>
      </c>
      <c r="D247" s="29" t="s">
        <v>69</v>
      </c>
      <c r="E247" s="30">
        <f>44000+2360</f>
        <v>46360</v>
      </c>
      <c r="F247" s="30">
        <v>45362</v>
      </c>
      <c r="G247" s="361">
        <f t="shared" si="67"/>
        <v>97.847282139775672</v>
      </c>
    </row>
    <row r="248" spans="2:7" ht="13.5" thickBot="1" x14ac:dyDescent="0.25">
      <c r="B248" s="15">
        <f t="shared" si="70"/>
        <v>240</v>
      </c>
      <c r="C248" s="308">
        <v>223003</v>
      </c>
      <c r="D248" s="29" t="s">
        <v>70</v>
      </c>
      <c r="E248" s="30">
        <f>53800+2827</f>
        <v>56627</v>
      </c>
      <c r="F248" s="30">
        <v>81121</v>
      </c>
      <c r="G248" s="361">
        <f t="shared" si="67"/>
        <v>143.25498437141292</v>
      </c>
    </row>
    <row r="249" spans="2:7" ht="15.75" thickBot="1" x14ac:dyDescent="0.3">
      <c r="B249" s="15">
        <f t="shared" si="70"/>
        <v>241</v>
      </c>
      <c r="C249" s="312">
        <v>12</v>
      </c>
      <c r="D249" s="33" t="s">
        <v>5</v>
      </c>
      <c r="E249" s="34">
        <f>E250+E253+E257</f>
        <v>163269</v>
      </c>
      <c r="F249" s="34">
        <f>F250+F253+F257</f>
        <v>201900</v>
      </c>
      <c r="G249" s="361">
        <f t="shared" si="67"/>
        <v>123.66095217095715</v>
      </c>
    </row>
    <row r="250" spans="2:7" x14ac:dyDescent="0.2">
      <c r="B250" s="15">
        <f t="shared" si="70"/>
        <v>242</v>
      </c>
      <c r="C250" s="309">
        <v>210</v>
      </c>
      <c r="D250" s="35" t="s">
        <v>235</v>
      </c>
      <c r="E250" s="36">
        <f>E251+E252</f>
        <v>11200</v>
      </c>
      <c r="F250" s="36">
        <f t="shared" ref="F250" si="84">F251+F252</f>
        <v>19807</v>
      </c>
      <c r="G250" s="361">
        <f t="shared" si="67"/>
        <v>176.84821428571428</v>
      </c>
    </row>
    <row r="251" spans="2:7" x14ac:dyDescent="0.2">
      <c r="B251" s="15">
        <f t="shared" si="70"/>
        <v>243</v>
      </c>
      <c r="C251" s="308">
        <v>212003</v>
      </c>
      <c r="D251" s="29" t="s">
        <v>236</v>
      </c>
      <c r="E251" s="30">
        <v>10000</v>
      </c>
      <c r="F251" s="30">
        <v>18607</v>
      </c>
      <c r="G251" s="361">
        <f t="shared" si="67"/>
        <v>186.07</v>
      </c>
    </row>
    <row r="252" spans="2:7" x14ac:dyDescent="0.2">
      <c r="B252" s="15">
        <f t="shared" si="70"/>
        <v>244</v>
      </c>
      <c r="C252" s="308">
        <v>212004</v>
      </c>
      <c r="D252" s="29" t="s">
        <v>237</v>
      </c>
      <c r="E252" s="30">
        <f>900+300</f>
        <v>1200</v>
      </c>
      <c r="F252" s="30">
        <v>1200</v>
      </c>
      <c r="G252" s="361">
        <f t="shared" si="67"/>
        <v>100</v>
      </c>
    </row>
    <row r="253" spans="2:7" x14ac:dyDescent="0.2">
      <c r="B253" s="15">
        <f t="shared" si="70"/>
        <v>245</v>
      </c>
      <c r="C253" s="310">
        <v>220</v>
      </c>
      <c r="D253" s="37" t="s">
        <v>210</v>
      </c>
      <c r="E253" s="38">
        <f>SUM(E254:E256)</f>
        <v>150603</v>
      </c>
      <c r="F253" s="38">
        <f t="shared" ref="F253" si="85">SUM(F254:F256)</f>
        <v>180627</v>
      </c>
      <c r="G253" s="361">
        <f t="shared" si="67"/>
        <v>119.93585785143723</v>
      </c>
    </row>
    <row r="254" spans="2:7" x14ac:dyDescent="0.2">
      <c r="B254" s="15">
        <f t="shared" si="70"/>
        <v>246</v>
      </c>
      <c r="C254" s="308">
        <v>223001</v>
      </c>
      <c r="D254" s="29" t="s">
        <v>238</v>
      </c>
      <c r="E254" s="30">
        <v>53000</v>
      </c>
      <c r="F254" s="30">
        <v>82375</v>
      </c>
      <c r="G254" s="361">
        <f t="shared" si="67"/>
        <v>155.4245283018868</v>
      </c>
    </row>
    <row r="255" spans="2:7" x14ac:dyDescent="0.2">
      <c r="B255" s="15">
        <f t="shared" si="70"/>
        <v>247</v>
      </c>
      <c r="C255" s="308">
        <v>223002</v>
      </c>
      <c r="D255" s="29" t="s">
        <v>69</v>
      </c>
      <c r="E255" s="30">
        <f>46000+2464</f>
        <v>48464</v>
      </c>
      <c r="F255" s="30">
        <v>50903</v>
      </c>
      <c r="G255" s="361">
        <f t="shared" si="67"/>
        <v>105.03260151865301</v>
      </c>
    </row>
    <row r="256" spans="2:7" x14ac:dyDescent="0.2">
      <c r="B256" s="15">
        <f t="shared" si="70"/>
        <v>248</v>
      </c>
      <c r="C256" s="311">
        <v>223003</v>
      </c>
      <c r="D256" s="39" t="s">
        <v>70</v>
      </c>
      <c r="E256" s="40">
        <f>46000+3139</f>
        <v>49139</v>
      </c>
      <c r="F256" s="40">
        <v>47349</v>
      </c>
      <c r="G256" s="361">
        <f t="shared" si="67"/>
        <v>96.357272227762053</v>
      </c>
    </row>
    <row r="257" spans="2:7" x14ac:dyDescent="0.2">
      <c r="B257" s="15">
        <f t="shared" si="70"/>
        <v>249</v>
      </c>
      <c r="C257" s="37">
        <v>290</v>
      </c>
      <c r="D257" s="37" t="s">
        <v>168</v>
      </c>
      <c r="E257" s="38">
        <f>E258</f>
        <v>1466</v>
      </c>
      <c r="F257" s="38">
        <f t="shared" ref="F257" si="86">F258</f>
        <v>1466</v>
      </c>
      <c r="G257" s="361">
        <f t="shared" si="67"/>
        <v>100</v>
      </c>
    </row>
    <row r="258" spans="2:7" ht="13.5" thickBot="1" x14ac:dyDescent="0.25">
      <c r="B258" s="15">
        <f t="shared" si="70"/>
        <v>250</v>
      </c>
      <c r="C258" s="333">
        <v>292012</v>
      </c>
      <c r="D258" s="333" t="s">
        <v>220</v>
      </c>
      <c r="E258" s="334">
        <v>1466</v>
      </c>
      <c r="F258" s="334">
        <v>1466</v>
      </c>
      <c r="G258" s="361">
        <f t="shared" si="67"/>
        <v>100</v>
      </c>
    </row>
    <row r="259" spans="2:7" ht="15.75" thickBot="1" x14ac:dyDescent="0.3">
      <c r="B259" s="15">
        <f t="shared" si="70"/>
        <v>251</v>
      </c>
      <c r="C259" s="312">
        <v>13</v>
      </c>
      <c r="D259" s="33" t="s">
        <v>12</v>
      </c>
      <c r="E259" s="34">
        <f>E260+E263</f>
        <v>91788</v>
      </c>
      <c r="F259" s="34">
        <f t="shared" ref="F259" si="87">F260+F263</f>
        <v>106096</v>
      </c>
      <c r="G259" s="361">
        <f t="shared" si="67"/>
        <v>115.58809430426635</v>
      </c>
    </row>
    <row r="260" spans="2:7" x14ac:dyDescent="0.2">
      <c r="B260" s="15">
        <f t="shared" si="70"/>
        <v>252</v>
      </c>
      <c r="C260" s="309">
        <v>210</v>
      </c>
      <c r="D260" s="35" t="s">
        <v>235</v>
      </c>
      <c r="E260" s="36">
        <f>E261+E262</f>
        <v>9000</v>
      </c>
      <c r="F260" s="36">
        <f t="shared" ref="F260" si="88">F261+F262</f>
        <v>9415</v>
      </c>
      <c r="G260" s="361">
        <f t="shared" si="67"/>
        <v>104.61111111111111</v>
      </c>
    </row>
    <row r="261" spans="2:7" x14ac:dyDescent="0.2">
      <c r="B261" s="15">
        <f t="shared" si="70"/>
        <v>253</v>
      </c>
      <c r="C261" s="308">
        <v>212003</v>
      </c>
      <c r="D261" s="29" t="s">
        <v>236</v>
      </c>
      <c r="E261" s="30">
        <f>3000+2000+2400</f>
        <v>7400</v>
      </c>
      <c r="F261" s="30">
        <v>7815</v>
      </c>
      <c r="G261" s="361">
        <f t="shared" si="67"/>
        <v>105.6081081081081</v>
      </c>
    </row>
    <row r="262" spans="2:7" x14ac:dyDescent="0.2">
      <c r="B262" s="15">
        <f t="shared" si="70"/>
        <v>254</v>
      </c>
      <c r="C262" s="308">
        <v>212004</v>
      </c>
      <c r="D262" s="29" t="s">
        <v>237</v>
      </c>
      <c r="E262" s="30">
        <f>1200+400</f>
        <v>1600</v>
      </c>
      <c r="F262" s="30">
        <v>1600</v>
      </c>
      <c r="G262" s="361">
        <f t="shared" si="67"/>
        <v>100</v>
      </c>
    </row>
    <row r="263" spans="2:7" x14ac:dyDescent="0.2">
      <c r="B263" s="15">
        <f t="shared" si="70"/>
        <v>255</v>
      </c>
      <c r="C263" s="310">
        <v>220</v>
      </c>
      <c r="D263" s="37" t="s">
        <v>210</v>
      </c>
      <c r="E263" s="38">
        <f>SUM(E264:E266)</f>
        <v>82788</v>
      </c>
      <c r="F263" s="38">
        <f t="shared" ref="F263" si="89">SUM(F264:F266)</f>
        <v>96681</v>
      </c>
      <c r="G263" s="361">
        <f t="shared" si="67"/>
        <v>116.78141759675316</v>
      </c>
    </row>
    <row r="264" spans="2:7" x14ac:dyDescent="0.2">
      <c r="B264" s="15">
        <f t="shared" si="70"/>
        <v>256</v>
      </c>
      <c r="C264" s="308">
        <v>223001</v>
      </c>
      <c r="D264" s="29" t="s">
        <v>238</v>
      </c>
      <c r="E264" s="30">
        <v>30000</v>
      </c>
      <c r="F264" s="30">
        <v>32937</v>
      </c>
      <c r="G264" s="361">
        <f t="shared" si="67"/>
        <v>109.79</v>
      </c>
    </row>
    <row r="265" spans="2:7" x14ac:dyDescent="0.2">
      <c r="B265" s="15">
        <f t="shared" si="70"/>
        <v>257</v>
      </c>
      <c r="C265" s="308">
        <v>223002</v>
      </c>
      <c r="D265" s="29" t="s">
        <v>69</v>
      </c>
      <c r="E265" s="30">
        <f>12000+856</f>
        <v>12856</v>
      </c>
      <c r="F265" s="30">
        <v>18490</v>
      </c>
      <c r="G265" s="361">
        <f t="shared" si="67"/>
        <v>143.82389545737399</v>
      </c>
    </row>
    <row r="266" spans="2:7" ht="13.5" thickBot="1" x14ac:dyDescent="0.25">
      <c r="B266" s="15">
        <f t="shared" si="70"/>
        <v>258</v>
      </c>
      <c r="C266" s="308">
        <v>223003</v>
      </c>
      <c r="D266" s="29" t="s">
        <v>70</v>
      </c>
      <c r="E266" s="30">
        <f>39120+812</f>
        <v>39932</v>
      </c>
      <c r="F266" s="30">
        <v>45254</v>
      </c>
      <c r="G266" s="361">
        <f t="shared" si="67"/>
        <v>113.32765701692877</v>
      </c>
    </row>
    <row r="267" spans="2:7" ht="15.75" thickBot="1" x14ac:dyDescent="0.3">
      <c r="B267" s="15">
        <f t="shared" si="70"/>
        <v>259</v>
      </c>
      <c r="C267" s="312">
        <v>14</v>
      </c>
      <c r="D267" s="33" t="s">
        <v>1</v>
      </c>
      <c r="E267" s="34">
        <f>E268+E270</f>
        <v>153860</v>
      </c>
      <c r="F267" s="34">
        <f t="shared" ref="F267" si="90">F268+F270</f>
        <v>161727</v>
      </c>
      <c r="G267" s="361">
        <f t="shared" si="67"/>
        <v>105.11308982191603</v>
      </c>
    </row>
    <row r="268" spans="2:7" x14ac:dyDescent="0.2">
      <c r="B268" s="15">
        <f t="shared" si="70"/>
        <v>260</v>
      </c>
      <c r="C268" s="309">
        <v>210</v>
      </c>
      <c r="D268" s="35" t="s">
        <v>235</v>
      </c>
      <c r="E268" s="36">
        <f>E269</f>
        <v>300</v>
      </c>
      <c r="F268" s="36">
        <f t="shared" ref="F268" si="91">F269</f>
        <v>68</v>
      </c>
      <c r="G268" s="361">
        <f t="shared" si="67"/>
        <v>22.666666666666664</v>
      </c>
    </row>
    <row r="269" spans="2:7" x14ac:dyDescent="0.2">
      <c r="B269" s="15">
        <f t="shared" si="70"/>
        <v>261</v>
      </c>
      <c r="C269" s="308">
        <v>212003</v>
      </c>
      <c r="D269" s="29" t="s">
        <v>236</v>
      </c>
      <c r="E269" s="30">
        <v>300</v>
      </c>
      <c r="F269" s="30">
        <v>68</v>
      </c>
      <c r="G269" s="361">
        <f t="shared" si="67"/>
        <v>22.666666666666664</v>
      </c>
    </row>
    <row r="270" spans="2:7" x14ac:dyDescent="0.2">
      <c r="B270" s="15">
        <f t="shared" si="70"/>
        <v>262</v>
      </c>
      <c r="C270" s="310">
        <v>220</v>
      </c>
      <c r="D270" s="37" t="s">
        <v>210</v>
      </c>
      <c r="E270" s="38">
        <f>E271</f>
        <v>153560</v>
      </c>
      <c r="F270" s="38">
        <f t="shared" ref="F270" si="92">F271</f>
        <v>161659</v>
      </c>
      <c r="G270" s="361">
        <f t="shared" si="67"/>
        <v>105.27415993748373</v>
      </c>
    </row>
    <row r="271" spans="2:7" x14ac:dyDescent="0.2">
      <c r="B271" s="15">
        <f t="shared" si="70"/>
        <v>263</v>
      </c>
      <c r="C271" s="308">
        <v>223002</v>
      </c>
      <c r="D271" s="29" t="s">
        <v>69</v>
      </c>
      <c r="E271" s="30">
        <f>114300+39260</f>
        <v>153560</v>
      </c>
      <c r="F271" s="30">
        <v>161659</v>
      </c>
      <c r="G271" s="361">
        <f t="shared" si="67"/>
        <v>105.27415993748373</v>
      </c>
    </row>
    <row r="272" spans="2:7" ht="16.5" thickBot="1" x14ac:dyDescent="0.3">
      <c r="B272" s="15">
        <f t="shared" si="70"/>
        <v>264</v>
      </c>
      <c r="C272" s="315">
        <v>300</v>
      </c>
      <c r="D272" s="31" t="s">
        <v>213</v>
      </c>
      <c r="E272" s="32">
        <f>E273+E317+E322+E331+E328+E336</f>
        <v>23215183</v>
      </c>
      <c r="F272" s="32">
        <f>F273+F317+F322+F331+F328+F336</f>
        <v>23216931</v>
      </c>
      <c r="G272" s="361">
        <f t="shared" ref="G272:G339" si="93">F272/E272*100</f>
        <v>100.00752955511916</v>
      </c>
    </row>
    <row r="273" spans="2:8" ht="15.75" thickBot="1" x14ac:dyDescent="0.3">
      <c r="B273" s="15">
        <f t="shared" si="70"/>
        <v>265</v>
      </c>
      <c r="C273" s="312"/>
      <c r="D273" s="33" t="s">
        <v>38</v>
      </c>
      <c r="E273" s="34">
        <f>E274+E312</f>
        <v>22554888</v>
      </c>
      <c r="F273" s="34">
        <f>F274+F312</f>
        <v>22471875</v>
      </c>
      <c r="G273" s="361">
        <f t="shared" si="93"/>
        <v>99.631951176170773</v>
      </c>
    </row>
    <row r="274" spans="2:8" x14ac:dyDescent="0.2">
      <c r="B274" s="15">
        <f t="shared" si="70"/>
        <v>266</v>
      </c>
      <c r="C274" s="309">
        <v>310</v>
      </c>
      <c r="D274" s="35" t="s">
        <v>214</v>
      </c>
      <c r="E274" s="36">
        <f>E281+E300+E275+E298</f>
        <v>21626896</v>
      </c>
      <c r="F274" s="36">
        <f>F281+F300+F275+F298</f>
        <v>21745183</v>
      </c>
      <c r="G274" s="361">
        <f t="shared" si="93"/>
        <v>100.54694395349199</v>
      </c>
    </row>
    <row r="275" spans="2:8" x14ac:dyDescent="0.2">
      <c r="B275" s="15">
        <f t="shared" si="70"/>
        <v>267</v>
      </c>
      <c r="C275" s="316">
        <v>311</v>
      </c>
      <c r="D275" s="47" t="s">
        <v>212</v>
      </c>
      <c r="E275" s="48">
        <f>E277+E276+E278</f>
        <v>26200</v>
      </c>
      <c r="F275" s="48">
        <f>SUM(F276:F280)</f>
        <v>43682</v>
      </c>
      <c r="G275" s="361">
        <f t="shared" si="93"/>
        <v>166.72519083969465</v>
      </c>
    </row>
    <row r="276" spans="2:8" x14ac:dyDescent="0.2">
      <c r="B276" s="15">
        <f t="shared" si="70"/>
        <v>268</v>
      </c>
      <c r="C276" s="317"/>
      <c r="D276" s="41" t="s">
        <v>591</v>
      </c>
      <c r="E276" s="49">
        <v>4400</v>
      </c>
      <c r="F276" s="49">
        <v>4400</v>
      </c>
      <c r="G276" s="361">
        <f t="shared" si="93"/>
        <v>100</v>
      </c>
    </row>
    <row r="277" spans="2:8" ht="24" x14ac:dyDescent="0.2">
      <c r="B277" s="15">
        <f t="shared" si="70"/>
        <v>269</v>
      </c>
      <c r="C277" s="317"/>
      <c r="D277" s="41" t="s">
        <v>757</v>
      </c>
      <c r="E277" s="49">
        <v>20000</v>
      </c>
      <c r="F277" s="49">
        <v>20000</v>
      </c>
      <c r="G277" s="361">
        <f t="shared" si="93"/>
        <v>100</v>
      </c>
    </row>
    <row r="278" spans="2:8" ht="24" x14ac:dyDescent="0.2">
      <c r="B278" s="15">
        <f t="shared" si="70"/>
        <v>270</v>
      </c>
      <c r="C278" s="317"/>
      <c r="D278" s="41" t="s">
        <v>684</v>
      </c>
      <c r="E278" s="49">
        <v>1800</v>
      </c>
      <c r="F278" s="49">
        <v>1800</v>
      </c>
      <c r="G278" s="361">
        <f t="shared" si="93"/>
        <v>100</v>
      </c>
    </row>
    <row r="279" spans="2:8" x14ac:dyDescent="0.2">
      <c r="B279" s="15">
        <f t="shared" si="70"/>
        <v>271</v>
      </c>
      <c r="C279" s="317"/>
      <c r="D279" s="41" t="s">
        <v>762</v>
      </c>
      <c r="E279" s="49">
        <v>0</v>
      </c>
      <c r="F279" s="49">
        <v>5000</v>
      </c>
      <c r="G279" s="361">
        <v>0</v>
      </c>
    </row>
    <row r="280" spans="2:8" ht="24" x14ac:dyDescent="0.2">
      <c r="B280" s="15">
        <f t="shared" si="70"/>
        <v>272</v>
      </c>
      <c r="C280" s="317"/>
      <c r="D280" s="41" t="s">
        <v>749</v>
      </c>
      <c r="E280" s="49">
        <v>0</v>
      </c>
      <c r="F280" s="49">
        <v>12482</v>
      </c>
      <c r="G280" s="361">
        <v>0</v>
      </c>
    </row>
    <row r="281" spans="2:8" s="22" customFormat="1" ht="24" x14ac:dyDescent="0.2">
      <c r="B281" s="15">
        <f t="shared" si="70"/>
        <v>273</v>
      </c>
      <c r="C281" s="316">
        <v>312001</v>
      </c>
      <c r="D281" s="47" t="s">
        <v>223</v>
      </c>
      <c r="E281" s="48">
        <f>SUM(E282:E297)</f>
        <v>5803113</v>
      </c>
      <c r="F281" s="48">
        <f>SUM(F282:F297)</f>
        <v>6824848</v>
      </c>
      <c r="G281" s="361">
        <f t="shared" si="93"/>
        <v>117.60667076446727</v>
      </c>
      <c r="H281" s="21"/>
    </row>
    <row r="282" spans="2:8" x14ac:dyDescent="0.2">
      <c r="B282" s="15">
        <f t="shared" si="70"/>
        <v>274</v>
      </c>
      <c r="C282" s="317"/>
      <c r="D282" s="41" t="s">
        <v>328</v>
      </c>
      <c r="E282" s="49">
        <v>1552320</v>
      </c>
      <c r="F282" s="50">
        <v>1495523</v>
      </c>
      <c r="G282" s="361">
        <f t="shared" si="93"/>
        <v>96.341153885796743</v>
      </c>
    </row>
    <row r="283" spans="2:8" ht="24" x14ac:dyDescent="0.2">
      <c r="B283" s="15">
        <f t="shared" si="70"/>
        <v>275</v>
      </c>
      <c r="C283" s="317"/>
      <c r="D283" s="41" t="s">
        <v>712</v>
      </c>
      <c r="E283" s="49">
        <v>26016</v>
      </c>
      <c r="F283" s="50">
        <v>26016</v>
      </c>
      <c r="G283" s="361">
        <f t="shared" si="93"/>
        <v>100</v>
      </c>
    </row>
    <row r="284" spans="2:8" x14ac:dyDescent="0.2">
      <c r="B284" s="15">
        <f t="shared" si="70"/>
        <v>276</v>
      </c>
      <c r="C284" s="317"/>
      <c r="D284" s="41" t="s">
        <v>259</v>
      </c>
      <c r="E284" s="50">
        <v>16000</v>
      </c>
      <c r="F284" s="50">
        <v>13318</v>
      </c>
      <c r="G284" s="361">
        <f t="shared" si="93"/>
        <v>83.237499999999997</v>
      </c>
    </row>
    <row r="285" spans="2:8" ht="24" x14ac:dyDescent="0.2">
      <c r="B285" s="15">
        <f t="shared" si="70"/>
        <v>277</v>
      </c>
      <c r="C285" s="317"/>
      <c r="D285" s="41" t="s">
        <v>750</v>
      </c>
      <c r="E285" s="50">
        <v>0</v>
      </c>
      <c r="F285" s="50">
        <v>93348</v>
      </c>
      <c r="G285" s="361">
        <v>0</v>
      </c>
    </row>
    <row r="286" spans="2:8" x14ac:dyDescent="0.2">
      <c r="B286" s="15">
        <f t="shared" si="70"/>
        <v>278</v>
      </c>
      <c r="C286" s="317"/>
      <c r="D286" s="41" t="s">
        <v>758</v>
      </c>
      <c r="E286" s="50">
        <f>1253705+120000+60870+285850</f>
        <v>1720425</v>
      </c>
      <c r="F286" s="50">
        <v>1764106</v>
      </c>
      <c r="G286" s="361">
        <f t="shared" si="93"/>
        <v>102.53896566255432</v>
      </c>
    </row>
    <row r="287" spans="2:8" x14ac:dyDescent="0.2">
      <c r="B287" s="15">
        <f t="shared" si="70"/>
        <v>279</v>
      </c>
      <c r="C287" s="317"/>
      <c r="D287" s="41" t="s">
        <v>730</v>
      </c>
      <c r="E287" s="50">
        <f>17+3150+265</f>
        <v>3432</v>
      </c>
      <c r="F287" s="50">
        <v>249</v>
      </c>
      <c r="G287" s="361">
        <f t="shared" si="93"/>
        <v>7.255244755244755</v>
      </c>
    </row>
    <row r="288" spans="2:8" x14ac:dyDescent="0.2">
      <c r="B288" s="15">
        <f t="shared" si="70"/>
        <v>280</v>
      </c>
      <c r="C288" s="317"/>
      <c r="D288" s="41" t="s">
        <v>172</v>
      </c>
      <c r="E288" s="50">
        <f>16000+2700</f>
        <v>18700</v>
      </c>
      <c r="F288" s="50">
        <v>18220</v>
      </c>
      <c r="G288" s="361">
        <f t="shared" si="93"/>
        <v>97.433155080213908</v>
      </c>
    </row>
    <row r="289" spans="2:7" x14ac:dyDescent="0.2">
      <c r="B289" s="15">
        <f t="shared" si="70"/>
        <v>281</v>
      </c>
      <c r="C289" s="317"/>
      <c r="D289" s="41" t="s">
        <v>276</v>
      </c>
      <c r="E289" s="50">
        <v>5000</v>
      </c>
      <c r="F289" s="50">
        <f>35568</f>
        <v>35568</v>
      </c>
      <c r="G289" s="361">
        <f t="shared" si="93"/>
        <v>711.36</v>
      </c>
    </row>
    <row r="290" spans="2:7" x14ac:dyDescent="0.2">
      <c r="B290" s="15">
        <f t="shared" si="70"/>
        <v>282</v>
      </c>
      <c r="C290" s="317"/>
      <c r="D290" s="41" t="s">
        <v>451</v>
      </c>
      <c r="E290" s="50">
        <f>612770+106000-26662-67731+1162</f>
        <v>625539</v>
      </c>
      <c r="F290" s="50">
        <v>597253</v>
      </c>
      <c r="G290" s="361">
        <f t="shared" si="93"/>
        <v>95.478139652363808</v>
      </c>
    </row>
    <row r="291" spans="2:7" x14ac:dyDescent="0.2">
      <c r="B291" s="15">
        <f t="shared" si="70"/>
        <v>283</v>
      </c>
      <c r="C291" s="317"/>
      <c r="D291" s="41" t="s">
        <v>569</v>
      </c>
      <c r="E291" s="50">
        <f>835000+265000+200000</f>
        <v>1300000</v>
      </c>
      <c r="F291" s="50">
        <v>1122255</v>
      </c>
      <c r="G291" s="361">
        <f t="shared" si="93"/>
        <v>86.327307692307699</v>
      </c>
    </row>
    <row r="292" spans="2:7" ht="24" x14ac:dyDescent="0.2">
      <c r="B292" s="15">
        <f t="shared" si="70"/>
        <v>284</v>
      </c>
      <c r="C292" s="317"/>
      <c r="D292" s="41" t="s">
        <v>565</v>
      </c>
      <c r="E292" s="50">
        <v>16000</v>
      </c>
      <c r="F292" s="50">
        <v>0</v>
      </c>
      <c r="G292" s="361">
        <f t="shared" si="93"/>
        <v>0</v>
      </c>
    </row>
    <row r="293" spans="2:7" x14ac:dyDescent="0.2">
      <c r="B293" s="15">
        <f t="shared" si="70"/>
        <v>285</v>
      </c>
      <c r="C293" s="317"/>
      <c r="D293" s="41" t="s">
        <v>752</v>
      </c>
      <c r="E293" s="50">
        <v>0</v>
      </c>
      <c r="F293" s="50">
        <v>435431</v>
      </c>
      <c r="G293" s="361">
        <v>0</v>
      </c>
    </row>
    <row r="294" spans="2:7" ht="24" x14ac:dyDescent="0.2">
      <c r="B294" s="15">
        <f t="shared" si="70"/>
        <v>286</v>
      </c>
      <c r="C294" s="317"/>
      <c r="D294" s="41" t="s">
        <v>610</v>
      </c>
      <c r="E294" s="50">
        <v>0</v>
      </c>
      <c r="F294" s="50">
        <v>69569</v>
      </c>
      <c r="G294" s="361">
        <v>0</v>
      </c>
    </row>
    <row r="295" spans="2:7" x14ac:dyDescent="0.2">
      <c r="B295" s="15">
        <f t="shared" si="70"/>
        <v>287</v>
      </c>
      <c r="C295" s="317"/>
      <c r="D295" s="41" t="s">
        <v>751</v>
      </c>
      <c r="E295" s="50">
        <v>0</v>
      </c>
      <c r="F295" s="50">
        <v>393</v>
      </c>
      <c r="G295" s="361">
        <v>0</v>
      </c>
    </row>
    <row r="296" spans="2:7" x14ac:dyDescent="0.2">
      <c r="B296" s="15">
        <f t="shared" si="70"/>
        <v>288</v>
      </c>
      <c r="C296" s="317"/>
      <c r="D296" s="41" t="s">
        <v>753</v>
      </c>
      <c r="E296" s="50">
        <v>0</v>
      </c>
      <c r="F296" s="50">
        <f>631554+2364</f>
        <v>633918</v>
      </c>
      <c r="G296" s="361">
        <v>0</v>
      </c>
    </row>
    <row r="297" spans="2:7" ht="24" x14ac:dyDescent="0.2">
      <c r="B297" s="15">
        <f t="shared" si="70"/>
        <v>289</v>
      </c>
      <c r="C297" s="317"/>
      <c r="D297" s="41" t="s">
        <v>731</v>
      </c>
      <c r="E297" s="50">
        <v>519681</v>
      </c>
      <c r="F297" s="50">
        <v>519681</v>
      </c>
      <c r="G297" s="361">
        <f t="shared" si="93"/>
        <v>100</v>
      </c>
    </row>
    <row r="298" spans="2:7" x14ac:dyDescent="0.2">
      <c r="B298" s="15">
        <f t="shared" si="70"/>
        <v>290</v>
      </c>
      <c r="C298" s="316">
        <v>312002</v>
      </c>
      <c r="D298" s="47" t="s">
        <v>603</v>
      </c>
      <c r="E298" s="48">
        <f>E299</f>
        <v>300000</v>
      </c>
      <c r="F298" s="48">
        <f t="shared" ref="F298" si="94">F299</f>
        <v>213991</v>
      </c>
      <c r="G298" s="361">
        <f t="shared" si="93"/>
        <v>71.330333333333328</v>
      </c>
    </row>
    <row r="299" spans="2:7" x14ac:dyDescent="0.2">
      <c r="B299" s="15">
        <f t="shared" si="70"/>
        <v>291</v>
      </c>
      <c r="C299" s="317"/>
      <c r="D299" s="41" t="s">
        <v>604</v>
      </c>
      <c r="E299" s="50">
        <v>300000</v>
      </c>
      <c r="F299" s="50">
        <v>213991</v>
      </c>
      <c r="G299" s="361">
        <f t="shared" si="93"/>
        <v>71.330333333333328</v>
      </c>
    </row>
    <row r="300" spans="2:7" ht="24" x14ac:dyDescent="0.2">
      <c r="B300" s="15">
        <f t="shared" si="70"/>
        <v>292</v>
      </c>
      <c r="C300" s="316">
        <v>312012</v>
      </c>
      <c r="D300" s="47" t="s">
        <v>224</v>
      </c>
      <c r="E300" s="48">
        <f>SUM(E301:E311)</f>
        <v>15497583</v>
      </c>
      <c r="F300" s="48">
        <f t="shared" ref="F300" si="95">SUM(F301:F311)</f>
        <v>14662662</v>
      </c>
      <c r="G300" s="361">
        <f t="shared" si="93"/>
        <v>94.612572812160451</v>
      </c>
    </row>
    <row r="301" spans="2:7" x14ac:dyDescent="0.2">
      <c r="B301" s="15">
        <f t="shared" si="70"/>
        <v>293</v>
      </c>
      <c r="C301" s="317"/>
      <c r="D301" s="29" t="s">
        <v>282</v>
      </c>
      <c r="E301" s="30">
        <f>13097210-255599+153219+37023+1469248+67071</f>
        <v>14568172</v>
      </c>
      <c r="F301" s="30">
        <f>65100+43700+1270+79309+12849658+118247+130827+26374+800+700+112156+3</f>
        <v>13428144</v>
      </c>
      <c r="G301" s="361">
        <f t="shared" si="93"/>
        <v>92.174529515439545</v>
      </c>
    </row>
    <row r="302" spans="2:7" x14ac:dyDescent="0.2">
      <c r="B302" s="15">
        <f t="shared" si="70"/>
        <v>294</v>
      </c>
      <c r="C302" s="317"/>
      <c r="D302" s="29" t="s">
        <v>754</v>
      </c>
      <c r="E302" s="30">
        <v>0</v>
      </c>
      <c r="F302" s="30">
        <v>292250</v>
      </c>
      <c r="G302" s="361">
        <v>0</v>
      </c>
    </row>
    <row r="303" spans="2:7" x14ac:dyDescent="0.2">
      <c r="B303" s="15">
        <f t="shared" si="70"/>
        <v>295</v>
      </c>
      <c r="C303" s="317"/>
      <c r="D303" s="29" t="s">
        <v>281</v>
      </c>
      <c r="E303" s="30">
        <f>442855-30053+16882</f>
        <v>429684</v>
      </c>
      <c r="F303" s="30">
        <v>429684</v>
      </c>
      <c r="G303" s="361">
        <f t="shared" si="93"/>
        <v>100</v>
      </c>
    </row>
    <row r="304" spans="2:7" x14ac:dyDescent="0.2">
      <c r="B304" s="15">
        <f t="shared" si="70"/>
        <v>296</v>
      </c>
      <c r="C304" s="317"/>
      <c r="D304" s="29" t="s">
        <v>280</v>
      </c>
      <c r="E304" s="30">
        <f>173000+7397</f>
        <v>180397</v>
      </c>
      <c r="F304" s="30">
        <v>180396</v>
      </c>
      <c r="G304" s="361">
        <f t="shared" si="93"/>
        <v>99.999445667056548</v>
      </c>
    </row>
    <row r="305" spans="2:8" x14ac:dyDescent="0.2">
      <c r="B305" s="15">
        <f t="shared" si="70"/>
        <v>297</v>
      </c>
      <c r="C305" s="317"/>
      <c r="D305" s="29" t="s">
        <v>258</v>
      </c>
      <c r="E305" s="30">
        <v>83000</v>
      </c>
      <c r="F305" s="30">
        <f>90585</f>
        <v>90585</v>
      </c>
      <c r="G305" s="361">
        <f t="shared" si="93"/>
        <v>109.13855421686746</v>
      </c>
    </row>
    <row r="306" spans="2:8" x14ac:dyDescent="0.2">
      <c r="B306" s="15">
        <f t="shared" si="70"/>
        <v>298</v>
      </c>
      <c r="C306" s="317"/>
      <c r="D306" s="29" t="s">
        <v>123</v>
      </c>
      <c r="E306" s="30">
        <v>40000</v>
      </c>
      <c r="F306" s="30">
        <v>43761</v>
      </c>
      <c r="G306" s="361">
        <f t="shared" si="93"/>
        <v>109.4025</v>
      </c>
    </row>
    <row r="307" spans="2:8" x14ac:dyDescent="0.2">
      <c r="B307" s="15">
        <f t="shared" si="70"/>
        <v>299</v>
      </c>
      <c r="C307" s="317"/>
      <c r="D307" s="29" t="s">
        <v>279</v>
      </c>
      <c r="E307" s="30">
        <v>18300</v>
      </c>
      <c r="F307" s="30">
        <f>17855+556</f>
        <v>18411</v>
      </c>
      <c r="G307" s="361">
        <f t="shared" si="93"/>
        <v>100.60655737704917</v>
      </c>
    </row>
    <row r="308" spans="2:8" x14ac:dyDescent="0.2">
      <c r="B308" s="15">
        <f t="shared" si="70"/>
        <v>300</v>
      </c>
      <c r="C308" s="317"/>
      <c r="D308" s="29" t="s">
        <v>329</v>
      </c>
      <c r="E308" s="30">
        <v>24400</v>
      </c>
      <c r="F308" s="30">
        <v>24253</v>
      </c>
      <c r="G308" s="361">
        <f t="shared" si="93"/>
        <v>99.397540983606561</v>
      </c>
    </row>
    <row r="309" spans="2:8" x14ac:dyDescent="0.2">
      <c r="B309" s="15">
        <f t="shared" si="70"/>
        <v>301</v>
      </c>
      <c r="C309" s="317"/>
      <c r="D309" s="29" t="s">
        <v>670</v>
      </c>
      <c r="E309" s="30">
        <v>55198</v>
      </c>
      <c r="F309" s="30">
        <v>55198</v>
      </c>
      <c r="G309" s="361">
        <f t="shared" si="93"/>
        <v>100</v>
      </c>
    </row>
    <row r="310" spans="2:8" x14ac:dyDescent="0.2">
      <c r="B310" s="15">
        <f t="shared" si="70"/>
        <v>302</v>
      </c>
      <c r="C310" s="317"/>
      <c r="D310" s="29" t="s">
        <v>580</v>
      </c>
      <c r="E310" s="30">
        <v>93432</v>
      </c>
      <c r="F310" s="30">
        <v>93432</v>
      </c>
      <c r="G310" s="361">
        <f t="shared" si="93"/>
        <v>100</v>
      </c>
    </row>
    <row r="311" spans="2:8" x14ac:dyDescent="0.2">
      <c r="B311" s="15">
        <f t="shared" si="70"/>
        <v>303</v>
      </c>
      <c r="C311" s="317"/>
      <c r="D311" s="29" t="s">
        <v>59</v>
      </c>
      <c r="E311" s="30">
        <v>5000</v>
      </c>
      <c r="F311" s="30">
        <v>6548</v>
      </c>
      <c r="G311" s="361">
        <f t="shared" si="93"/>
        <v>130.96</v>
      </c>
    </row>
    <row r="312" spans="2:8" x14ac:dyDescent="0.2">
      <c r="B312" s="15">
        <f t="shared" si="70"/>
        <v>304</v>
      </c>
      <c r="C312" s="309">
        <v>330</v>
      </c>
      <c r="D312" s="35" t="s">
        <v>572</v>
      </c>
      <c r="E312" s="36">
        <f>E313</f>
        <v>927992</v>
      </c>
      <c r="F312" s="36">
        <f t="shared" ref="F312" si="96">F313</f>
        <v>726692</v>
      </c>
      <c r="G312" s="361">
        <f t="shared" si="93"/>
        <v>78.30800265519531</v>
      </c>
    </row>
    <row r="313" spans="2:8" ht="24" x14ac:dyDescent="0.2">
      <c r="B313" s="15">
        <f t="shared" si="70"/>
        <v>305</v>
      </c>
      <c r="C313" s="316">
        <v>331001</v>
      </c>
      <c r="D313" s="47" t="s">
        <v>573</v>
      </c>
      <c r="E313" s="48">
        <f>E314+E315+E316</f>
        <v>927992</v>
      </c>
      <c r="F313" s="48">
        <f t="shared" ref="F313" si="97">F314+F315+F316</f>
        <v>726692</v>
      </c>
      <c r="G313" s="361">
        <f t="shared" si="93"/>
        <v>78.30800265519531</v>
      </c>
    </row>
    <row r="314" spans="2:8" ht="24" x14ac:dyDescent="0.2">
      <c r="B314" s="15">
        <f t="shared" ref="B314:B325" si="98">B313+1</f>
        <v>306</v>
      </c>
      <c r="C314" s="373"/>
      <c r="D314" s="374" t="s">
        <v>574</v>
      </c>
      <c r="E314" s="375">
        <v>730000</v>
      </c>
      <c r="F314" s="375">
        <v>670000</v>
      </c>
      <c r="G314" s="376">
        <f t="shared" si="93"/>
        <v>91.780821917808225</v>
      </c>
    </row>
    <row r="315" spans="2:8" x14ac:dyDescent="0.2">
      <c r="B315" s="15">
        <f t="shared" si="98"/>
        <v>307</v>
      </c>
      <c r="C315" s="378"/>
      <c r="D315" s="41" t="s">
        <v>590</v>
      </c>
      <c r="E315" s="49">
        <v>4192</v>
      </c>
      <c r="F315" s="49">
        <v>4192</v>
      </c>
      <c r="G315" s="379">
        <f t="shared" si="93"/>
        <v>100</v>
      </c>
    </row>
    <row r="316" spans="2:8" ht="13.5" thickBot="1" x14ac:dyDescent="0.25">
      <c r="B316" s="15">
        <f t="shared" si="98"/>
        <v>308</v>
      </c>
      <c r="C316" s="318"/>
      <c r="D316" s="51" t="s">
        <v>462</v>
      </c>
      <c r="E316" s="52">
        <v>193800</v>
      </c>
      <c r="F316" s="52">
        <v>52500</v>
      </c>
      <c r="G316" s="377">
        <f t="shared" si="93"/>
        <v>27.089783281733748</v>
      </c>
    </row>
    <row r="317" spans="2:8" ht="15.75" thickBot="1" x14ac:dyDescent="0.3">
      <c r="B317" s="15">
        <f t="shared" si="98"/>
        <v>309</v>
      </c>
      <c r="C317" s="312">
        <v>1</v>
      </c>
      <c r="D317" s="33" t="s">
        <v>48</v>
      </c>
      <c r="E317" s="34">
        <f>E320+E318</f>
        <v>12900</v>
      </c>
      <c r="F317" s="34">
        <f t="shared" ref="F317" si="99">F320+F318</f>
        <v>12700</v>
      </c>
      <c r="G317" s="361">
        <f t="shared" si="93"/>
        <v>98.449612403100772</v>
      </c>
    </row>
    <row r="318" spans="2:8" x14ac:dyDescent="0.2">
      <c r="B318" s="15">
        <f t="shared" si="98"/>
        <v>310</v>
      </c>
      <c r="C318" s="316">
        <v>311</v>
      </c>
      <c r="D318" s="47" t="s">
        <v>212</v>
      </c>
      <c r="E318" s="48">
        <f>E319</f>
        <v>200</v>
      </c>
      <c r="F318" s="48">
        <f t="shared" ref="F318" si="100">F319</f>
        <v>0</v>
      </c>
      <c r="G318" s="361">
        <f t="shared" si="93"/>
        <v>0</v>
      </c>
    </row>
    <row r="319" spans="2:8" x14ac:dyDescent="0.2">
      <c r="B319" s="15">
        <f t="shared" si="98"/>
        <v>311</v>
      </c>
      <c r="C319" s="317"/>
      <c r="D319" s="41" t="s">
        <v>212</v>
      </c>
      <c r="E319" s="49">
        <v>200</v>
      </c>
      <c r="F319" s="49">
        <v>0</v>
      </c>
      <c r="G319" s="361">
        <f t="shared" si="93"/>
        <v>0</v>
      </c>
    </row>
    <row r="320" spans="2:8" s="22" customFormat="1" ht="24" x14ac:dyDescent="0.2">
      <c r="B320" s="15">
        <f t="shared" si="98"/>
        <v>312</v>
      </c>
      <c r="C320" s="316">
        <v>312001</v>
      </c>
      <c r="D320" s="47" t="s">
        <v>223</v>
      </c>
      <c r="E320" s="48">
        <f>E321</f>
        <v>12700</v>
      </c>
      <c r="F320" s="48">
        <f t="shared" ref="F320" si="101">F321</f>
        <v>12700</v>
      </c>
      <c r="G320" s="361">
        <f t="shared" si="93"/>
        <v>100</v>
      </c>
      <c r="H320" s="21"/>
    </row>
    <row r="321" spans="2:8" s="22" customFormat="1" ht="13.5" thickBot="1" x14ac:dyDescent="0.25">
      <c r="B321" s="15">
        <f t="shared" si="98"/>
        <v>313</v>
      </c>
      <c r="C321" s="319"/>
      <c r="D321" s="374" t="s">
        <v>331</v>
      </c>
      <c r="E321" s="404">
        <f>6000+3550+3150</f>
        <v>12700</v>
      </c>
      <c r="F321" s="404">
        <v>12700</v>
      </c>
      <c r="G321" s="361">
        <f t="shared" si="93"/>
        <v>100</v>
      </c>
      <c r="H321" s="21"/>
    </row>
    <row r="322" spans="2:8" ht="15.75" thickBot="1" x14ac:dyDescent="0.3">
      <c r="B322" s="15">
        <f t="shared" si="98"/>
        <v>314</v>
      </c>
      <c r="C322" s="312">
        <v>5</v>
      </c>
      <c r="D322" s="33" t="s">
        <v>106</v>
      </c>
      <c r="E322" s="34">
        <f>E325</f>
        <v>570200</v>
      </c>
      <c r="F322" s="34">
        <f>F325+F323</f>
        <v>655161</v>
      </c>
      <c r="G322" s="361">
        <f t="shared" si="93"/>
        <v>114.90021045247281</v>
      </c>
    </row>
    <row r="323" spans="2:8" x14ac:dyDescent="0.2">
      <c r="B323" s="15">
        <f t="shared" si="98"/>
        <v>315</v>
      </c>
      <c r="C323" s="316">
        <v>311</v>
      </c>
      <c r="D323" s="47" t="s">
        <v>212</v>
      </c>
      <c r="E323" s="48">
        <f>E324</f>
        <v>0</v>
      </c>
      <c r="F323" s="48">
        <f t="shared" ref="F323" si="102">F324</f>
        <v>5900</v>
      </c>
      <c r="G323" s="361">
        <v>0</v>
      </c>
    </row>
    <row r="324" spans="2:8" x14ac:dyDescent="0.2">
      <c r="B324" s="15">
        <f t="shared" si="98"/>
        <v>316</v>
      </c>
      <c r="C324" s="317"/>
      <c r="D324" s="41" t="s">
        <v>212</v>
      </c>
      <c r="E324" s="49">
        <v>0</v>
      </c>
      <c r="F324" s="49">
        <v>5900</v>
      </c>
      <c r="G324" s="361">
        <v>0</v>
      </c>
    </row>
    <row r="325" spans="2:8" s="22" customFormat="1" ht="24" x14ac:dyDescent="0.2">
      <c r="B325" s="15">
        <f t="shared" si="98"/>
        <v>317</v>
      </c>
      <c r="C325" s="316">
        <v>312001</v>
      </c>
      <c r="D325" s="47" t="s">
        <v>223</v>
      </c>
      <c r="E325" s="48">
        <f>SUM(E326:E327)</f>
        <v>570200</v>
      </c>
      <c r="F325" s="48">
        <f t="shared" ref="F325" si="103">SUM(F326:F327)</f>
        <v>649261</v>
      </c>
      <c r="G325" s="361">
        <f t="shared" si="93"/>
        <v>113.86548579445808</v>
      </c>
      <c r="H325" s="21"/>
    </row>
    <row r="326" spans="2:8" x14ac:dyDescent="0.2">
      <c r="B326" s="15">
        <f t="shared" ref="B326:B338" si="104">B325+1</f>
        <v>318</v>
      </c>
      <c r="C326" s="308"/>
      <c r="D326" s="29" t="s">
        <v>287</v>
      </c>
      <c r="E326" s="44">
        <v>500000</v>
      </c>
      <c r="F326" s="44">
        <v>608467</v>
      </c>
      <c r="G326" s="361">
        <f t="shared" si="93"/>
        <v>121.6934</v>
      </c>
    </row>
    <row r="327" spans="2:8" s="22" customFormat="1" ht="24.75" thickBot="1" x14ac:dyDescent="0.25">
      <c r="B327" s="15">
        <f t="shared" si="104"/>
        <v>319</v>
      </c>
      <c r="C327" s="320"/>
      <c r="D327" s="51" t="s">
        <v>332</v>
      </c>
      <c r="E327" s="52">
        <f>52000+18200</f>
        <v>70200</v>
      </c>
      <c r="F327" s="52">
        <v>40794</v>
      </c>
      <c r="G327" s="361">
        <f t="shared" si="93"/>
        <v>58.111111111111114</v>
      </c>
      <c r="H327" s="21"/>
    </row>
    <row r="328" spans="2:8" s="22" customFormat="1" ht="15.75" thickBot="1" x14ac:dyDescent="0.3">
      <c r="B328" s="15">
        <f t="shared" si="104"/>
        <v>320</v>
      </c>
      <c r="C328" s="33">
        <v>9</v>
      </c>
      <c r="D328" s="33" t="s">
        <v>4</v>
      </c>
      <c r="E328" s="34">
        <f>E329</f>
        <v>62416</v>
      </c>
      <c r="F328" s="34">
        <f t="shared" ref="F328:F329" si="105">F329</f>
        <v>62416</v>
      </c>
      <c r="G328" s="361">
        <f t="shared" si="93"/>
        <v>100</v>
      </c>
      <c r="H328" s="21"/>
    </row>
    <row r="329" spans="2:8" s="22" customFormat="1" x14ac:dyDescent="0.2">
      <c r="B329" s="15">
        <f t="shared" si="104"/>
        <v>321</v>
      </c>
      <c r="C329" s="335">
        <v>311</v>
      </c>
      <c r="D329" s="47" t="s">
        <v>212</v>
      </c>
      <c r="E329" s="48">
        <f>E330</f>
        <v>62416</v>
      </c>
      <c r="F329" s="48">
        <f t="shared" si="105"/>
        <v>62416</v>
      </c>
      <c r="G329" s="361">
        <f t="shared" si="93"/>
        <v>100</v>
      </c>
      <c r="H329" s="21"/>
    </row>
    <row r="330" spans="2:8" s="22" customFormat="1" ht="13.5" thickBot="1" x14ac:dyDescent="0.25">
      <c r="B330" s="15">
        <f t="shared" si="104"/>
        <v>322</v>
      </c>
      <c r="C330" s="336"/>
      <c r="D330" s="374" t="s">
        <v>697</v>
      </c>
      <c r="E330" s="404">
        <v>62416</v>
      </c>
      <c r="F330" s="404">
        <v>62416</v>
      </c>
      <c r="G330" s="361">
        <f t="shared" si="93"/>
        <v>100</v>
      </c>
      <c r="H330" s="21"/>
    </row>
    <row r="331" spans="2:8" s="22" customFormat="1" ht="15.75" thickBot="1" x14ac:dyDescent="0.3">
      <c r="B331" s="15">
        <f t="shared" si="104"/>
        <v>323</v>
      </c>
      <c r="C331" s="33">
        <v>10</v>
      </c>
      <c r="D331" s="33" t="s">
        <v>0</v>
      </c>
      <c r="E331" s="34">
        <f>E334+E340+E332</f>
        <v>3039</v>
      </c>
      <c r="F331" s="34">
        <f t="shared" ref="F331" si="106">F334+F340+F332</f>
        <v>3039</v>
      </c>
      <c r="G331" s="361">
        <f t="shared" si="93"/>
        <v>100</v>
      </c>
      <c r="H331" s="21"/>
    </row>
    <row r="332" spans="2:8" s="22" customFormat="1" x14ac:dyDescent="0.2">
      <c r="B332" s="15">
        <f t="shared" si="104"/>
        <v>324</v>
      </c>
      <c r="C332" s="316">
        <v>311</v>
      </c>
      <c r="D332" s="47" t="s">
        <v>212</v>
      </c>
      <c r="E332" s="48">
        <f>E333</f>
        <v>2039</v>
      </c>
      <c r="F332" s="48">
        <f t="shared" ref="F332" si="107">F333</f>
        <v>2039</v>
      </c>
      <c r="G332" s="361">
        <f t="shared" si="93"/>
        <v>100</v>
      </c>
      <c r="H332" s="21"/>
    </row>
    <row r="333" spans="2:8" s="22" customFormat="1" x14ac:dyDescent="0.2">
      <c r="B333" s="15">
        <f t="shared" si="104"/>
        <v>325</v>
      </c>
      <c r="C333" s="317"/>
      <c r="D333" s="41" t="s">
        <v>212</v>
      </c>
      <c r="E333" s="49">
        <v>2039</v>
      </c>
      <c r="F333" s="49">
        <v>2039</v>
      </c>
      <c r="G333" s="361">
        <f t="shared" si="93"/>
        <v>100</v>
      </c>
      <c r="H333" s="21"/>
    </row>
    <row r="334" spans="2:8" s="22" customFormat="1" ht="24" x14ac:dyDescent="0.2">
      <c r="B334" s="15">
        <f t="shared" si="104"/>
        <v>326</v>
      </c>
      <c r="C334" s="335">
        <v>312001</v>
      </c>
      <c r="D334" s="47" t="s">
        <v>223</v>
      </c>
      <c r="E334" s="48">
        <f>E335</f>
        <v>1000</v>
      </c>
      <c r="F334" s="48">
        <f t="shared" ref="F334" si="108">F335</f>
        <v>1000</v>
      </c>
      <c r="G334" s="361">
        <f t="shared" si="93"/>
        <v>100</v>
      </c>
      <c r="H334" s="21"/>
    </row>
    <row r="335" spans="2:8" s="22" customFormat="1" ht="13.5" thickBot="1" x14ac:dyDescent="0.25">
      <c r="B335" s="15">
        <f t="shared" si="104"/>
        <v>327</v>
      </c>
      <c r="C335" s="336"/>
      <c r="D335" s="374" t="s">
        <v>331</v>
      </c>
      <c r="E335" s="404">
        <v>1000</v>
      </c>
      <c r="F335" s="404">
        <v>1000</v>
      </c>
      <c r="G335" s="361">
        <f t="shared" si="93"/>
        <v>100</v>
      </c>
      <c r="H335" s="21"/>
    </row>
    <row r="336" spans="2:8" s="22" customFormat="1" ht="15.75" thickBot="1" x14ac:dyDescent="0.3">
      <c r="B336" s="15">
        <f t="shared" si="104"/>
        <v>328</v>
      </c>
      <c r="C336" s="33">
        <v>12</v>
      </c>
      <c r="D336" s="33" t="s">
        <v>5</v>
      </c>
      <c r="E336" s="34">
        <f>E337</f>
        <v>11740</v>
      </c>
      <c r="F336" s="34">
        <f t="shared" ref="F336:F337" si="109">F337</f>
        <v>11740</v>
      </c>
      <c r="G336" s="361">
        <f t="shared" si="93"/>
        <v>100</v>
      </c>
      <c r="H336" s="21"/>
    </row>
    <row r="337" spans="2:8" s="22" customFormat="1" x14ac:dyDescent="0.2">
      <c r="B337" s="15">
        <f t="shared" si="104"/>
        <v>329</v>
      </c>
      <c r="C337" s="335">
        <v>311</v>
      </c>
      <c r="D337" s="47" t="s">
        <v>212</v>
      </c>
      <c r="E337" s="48">
        <f>E338</f>
        <v>11740</v>
      </c>
      <c r="F337" s="48">
        <f t="shared" si="109"/>
        <v>11740</v>
      </c>
      <c r="G337" s="361">
        <f t="shared" si="93"/>
        <v>100</v>
      </c>
      <c r="H337" s="21"/>
    </row>
    <row r="338" spans="2:8" s="22" customFormat="1" x14ac:dyDescent="0.2">
      <c r="B338" s="15">
        <f t="shared" si="104"/>
        <v>330</v>
      </c>
      <c r="C338" s="336"/>
      <c r="D338" s="374" t="s">
        <v>698</v>
      </c>
      <c r="E338" s="404">
        <f>10284+500+956</f>
        <v>11740</v>
      </c>
      <c r="F338" s="404">
        <v>11740</v>
      </c>
      <c r="G338" s="361">
        <f t="shared" si="93"/>
        <v>100</v>
      </c>
      <c r="H338" s="21"/>
    </row>
    <row r="339" spans="2:8" ht="15" x14ac:dyDescent="0.2">
      <c r="B339" s="15">
        <f>B335+1</f>
        <v>328</v>
      </c>
      <c r="C339" s="321"/>
      <c r="D339" s="53" t="s">
        <v>113</v>
      </c>
      <c r="E339" s="54">
        <f>E272+E22+E7</f>
        <v>76317915</v>
      </c>
      <c r="F339" s="54">
        <f>F272+F22+F7</f>
        <v>75405875</v>
      </c>
      <c r="G339" s="361">
        <f t="shared" si="93"/>
        <v>98.804946387751812</v>
      </c>
    </row>
    <row r="340" spans="2:8" ht="12.75" customHeight="1" x14ac:dyDescent="0.2"/>
    <row r="341" spans="2:8" ht="24.75" customHeight="1" x14ac:dyDescent="0.2">
      <c r="B341" s="483" t="s">
        <v>163</v>
      </c>
      <c r="C341" s="484"/>
      <c r="D341" s="484"/>
      <c r="E341" s="472" t="s">
        <v>740</v>
      </c>
      <c r="F341" s="480" t="s">
        <v>739</v>
      </c>
      <c r="G341" s="462" t="s">
        <v>738</v>
      </c>
    </row>
    <row r="342" spans="2:8" ht="13.5" hidden="1" customHeight="1" x14ac:dyDescent="0.2">
      <c r="B342" s="485"/>
      <c r="C342" s="486"/>
      <c r="D342" s="486"/>
      <c r="E342" s="473"/>
      <c r="F342" s="481"/>
      <c r="G342" s="463"/>
    </row>
    <row r="343" spans="2:8" x14ac:dyDescent="0.2">
      <c r="B343" s="487" t="s">
        <v>110</v>
      </c>
      <c r="C343" s="489" t="s">
        <v>112</v>
      </c>
      <c r="D343" s="490" t="s">
        <v>111</v>
      </c>
      <c r="E343" s="473"/>
      <c r="F343" s="481"/>
      <c r="G343" s="463"/>
    </row>
    <row r="344" spans="2:8" ht="1.5" customHeight="1" x14ac:dyDescent="0.2">
      <c r="B344" s="487"/>
      <c r="C344" s="491"/>
      <c r="D344" s="492"/>
      <c r="E344" s="474"/>
      <c r="F344" s="482"/>
      <c r="G344" s="463"/>
    </row>
    <row r="345" spans="2:8" ht="16.5" thickBot="1" x14ac:dyDescent="0.3">
      <c r="B345" s="55">
        <v>1</v>
      </c>
      <c r="C345" s="322">
        <v>200</v>
      </c>
      <c r="D345" s="56" t="s">
        <v>162</v>
      </c>
      <c r="E345" s="57">
        <f>E346</f>
        <v>1987505</v>
      </c>
      <c r="F345" s="57">
        <f>F346</f>
        <v>1512865</v>
      </c>
      <c r="G345" s="361">
        <f>F345/E345*100</f>
        <v>76.118802216849772</v>
      </c>
    </row>
    <row r="346" spans="2:8" ht="15.75" thickBot="1" x14ac:dyDescent="0.3">
      <c r="B346" s="58">
        <f>B345+1</f>
        <v>2</v>
      </c>
      <c r="C346" s="323"/>
      <c r="D346" s="59" t="s">
        <v>38</v>
      </c>
      <c r="E346" s="60">
        <f>E347</f>
        <v>1987505</v>
      </c>
      <c r="F346" s="60">
        <f>F347</f>
        <v>1512865</v>
      </c>
      <c r="G346" s="361">
        <f>F346/E346*100</f>
        <v>76.118802216849772</v>
      </c>
    </row>
    <row r="347" spans="2:8" x14ac:dyDescent="0.2">
      <c r="B347" s="58">
        <f t="shared" ref="B347:B390" si="110">B346+1</f>
        <v>3</v>
      </c>
      <c r="C347" s="324">
        <v>230</v>
      </c>
      <c r="D347" s="23" t="s">
        <v>163</v>
      </c>
      <c r="E347" s="24">
        <f>E348+E349+E350</f>
        <v>1987505</v>
      </c>
      <c r="F347" s="24">
        <f>F348+F349+F350</f>
        <v>1512865</v>
      </c>
      <c r="G347" s="361">
        <f t="shared" ref="G347:G390" si="111">F347/E347*100</f>
        <v>76.118802216849772</v>
      </c>
    </row>
    <row r="348" spans="2:8" x14ac:dyDescent="0.2">
      <c r="B348" s="58">
        <f t="shared" si="110"/>
        <v>4</v>
      </c>
      <c r="C348" s="325">
        <v>231</v>
      </c>
      <c r="D348" s="6" t="s">
        <v>330</v>
      </c>
      <c r="E348" s="7">
        <f>100000+1337505</f>
        <v>1437505</v>
      </c>
      <c r="F348" s="7">
        <v>1337505</v>
      </c>
      <c r="G348" s="361">
        <f t="shared" si="111"/>
        <v>93.043502457382758</v>
      </c>
    </row>
    <row r="349" spans="2:8" x14ac:dyDescent="0.2">
      <c r="B349" s="58">
        <f t="shared" si="110"/>
        <v>5</v>
      </c>
      <c r="C349" s="326">
        <v>231</v>
      </c>
      <c r="D349" s="61" t="s">
        <v>482</v>
      </c>
      <c r="E349" s="7">
        <v>250000</v>
      </c>
      <c r="F349" s="7">
        <f>52974+950</f>
        <v>53924</v>
      </c>
      <c r="G349" s="361">
        <f t="shared" si="111"/>
        <v>21.569600000000001</v>
      </c>
    </row>
    <row r="350" spans="2:8" x14ac:dyDescent="0.2">
      <c r="B350" s="58">
        <f t="shared" si="110"/>
        <v>6</v>
      </c>
      <c r="C350" s="326">
        <v>233001</v>
      </c>
      <c r="D350" s="61" t="s">
        <v>164</v>
      </c>
      <c r="E350" s="62">
        <v>300000</v>
      </c>
      <c r="F350" s="62">
        <v>121436</v>
      </c>
      <c r="G350" s="361">
        <f t="shared" si="111"/>
        <v>40.478666666666669</v>
      </c>
    </row>
    <row r="351" spans="2:8" ht="16.5" thickBot="1" x14ac:dyDescent="0.3">
      <c r="B351" s="58">
        <f t="shared" si="110"/>
        <v>7</v>
      </c>
      <c r="C351" s="327">
        <v>300</v>
      </c>
      <c r="D351" s="63" t="s">
        <v>213</v>
      </c>
      <c r="E351" s="64">
        <f>E352+E386</f>
        <v>62104528</v>
      </c>
      <c r="F351" s="64">
        <f>F352+F386</f>
        <v>4191142</v>
      </c>
      <c r="G351" s="361">
        <f t="shared" si="111"/>
        <v>6.7485288673315411</v>
      </c>
    </row>
    <row r="352" spans="2:8" ht="15.75" thickBot="1" x14ac:dyDescent="0.3">
      <c r="B352" s="58">
        <f t="shared" si="110"/>
        <v>8</v>
      </c>
      <c r="C352" s="323"/>
      <c r="D352" s="59" t="s">
        <v>38</v>
      </c>
      <c r="E352" s="60">
        <f>E353</f>
        <v>61798506</v>
      </c>
      <c r="F352" s="60">
        <f>F353</f>
        <v>4191142</v>
      </c>
      <c r="G352" s="361">
        <f t="shared" si="111"/>
        <v>6.7819471234466411</v>
      </c>
    </row>
    <row r="353" spans="2:7" x14ac:dyDescent="0.2">
      <c r="B353" s="58">
        <f t="shared" si="110"/>
        <v>9</v>
      </c>
      <c r="C353" s="324">
        <v>320</v>
      </c>
      <c r="D353" s="23" t="s">
        <v>260</v>
      </c>
      <c r="E353" s="24">
        <f>E354</f>
        <v>61798506</v>
      </c>
      <c r="F353" s="24">
        <f>F354</f>
        <v>4191142</v>
      </c>
      <c r="G353" s="361">
        <f t="shared" si="111"/>
        <v>6.7819471234466411</v>
      </c>
    </row>
    <row r="354" spans="2:7" x14ac:dyDescent="0.2">
      <c r="B354" s="58">
        <f t="shared" si="110"/>
        <v>10</v>
      </c>
      <c r="C354" s="328">
        <v>322001</v>
      </c>
      <c r="D354" s="65" t="s">
        <v>261</v>
      </c>
      <c r="E354" s="66">
        <f>SUM(E355:E385)</f>
        <v>61798506</v>
      </c>
      <c r="F354" s="66">
        <f>SUM(F355:F385)</f>
        <v>4191142</v>
      </c>
      <c r="G354" s="361">
        <f t="shared" si="111"/>
        <v>6.7819471234466411</v>
      </c>
    </row>
    <row r="355" spans="2:7" x14ac:dyDescent="0.2">
      <c r="B355" s="58">
        <f t="shared" si="110"/>
        <v>11</v>
      </c>
      <c r="C355" s="329"/>
      <c r="D355" s="68" t="s">
        <v>605</v>
      </c>
      <c r="E355" s="69">
        <v>2307738</v>
      </c>
      <c r="F355" s="69">
        <v>1705545</v>
      </c>
      <c r="G355" s="361">
        <f t="shared" si="111"/>
        <v>73.905486671363903</v>
      </c>
    </row>
    <row r="356" spans="2:7" ht="24" x14ac:dyDescent="0.2">
      <c r="B356" s="58">
        <f t="shared" si="110"/>
        <v>12</v>
      </c>
      <c r="C356" s="329"/>
      <c r="D356" s="68" t="s">
        <v>421</v>
      </c>
      <c r="E356" s="69">
        <v>3312000</v>
      </c>
      <c r="F356" s="69">
        <v>0</v>
      </c>
      <c r="G356" s="361">
        <f t="shared" si="111"/>
        <v>0</v>
      </c>
    </row>
    <row r="357" spans="2:7" x14ac:dyDescent="0.2">
      <c r="B357" s="58">
        <f t="shared" si="110"/>
        <v>13</v>
      </c>
      <c r="C357" s="329"/>
      <c r="D357" s="68" t="s">
        <v>269</v>
      </c>
      <c r="E357" s="69">
        <v>10840870</v>
      </c>
      <c r="F357" s="69">
        <v>0</v>
      </c>
      <c r="G357" s="361">
        <f t="shared" si="111"/>
        <v>0</v>
      </c>
    </row>
    <row r="358" spans="2:7" ht="24" x14ac:dyDescent="0.2">
      <c r="B358" s="58">
        <f t="shared" si="110"/>
        <v>14</v>
      </c>
      <c r="C358" s="329"/>
      <c r="D358" s="68" t="s">
        <v>692</v>
      </c>
      <c r="E358" s="69">
        <v>61000</v>
      </c>
      <c r="F358" s="69">
        <v>0</v>
      </c>
      <c r="G358" s="361">
        <f t="shared" si="111"/>
        <v>0</v>
      </c>
    </row>
    <row r="359" spans="2:7" ht="24" x14ac:dyDescent="0.2">
      <c r="B359" s="58">
        <f t="shared" si="110"/>
        <v>15</v>
      </c>
      <c r="C359" s="329"/>
      <c r="D359" s="68" t="s">
        <v>759</v>
      </c>
      <c r="E359" s="69">
        <v>707630</v>
      </c>
      <c r="F359" s="69">
        <v>566104</v>
      </c>
      <c r="G359" s="361">
        <f t="shared" si="111"/>
        <v>80</v>
      </c>
    </row>
    <row r="360" spans="2:7" x14ac:dyDescent="0.2">
      <c r="B360" s="58">
        <f t="shared" si="110"/>
        <v>16</v>
      </c>
      <c r="C360" s="329"/>
      <c r="D360" s="68" t="s">
        <v>485</v>
      </c>
      <c r="E360" s="69">
        <v>27600</v>
      </c>
      <c r="F360" s="69">
        <v>0</v>
      </c>
      <c r="G360" s="361">
        <f t="shared" si="111"/>
        <v>0</v>
      </c>
    </row>
    <row r="361" spans="2:7" x14ac:dyDescent="0.2">
      <c r="B361" s="58">
        <f t="shared" si="110"/>
        <v>17</v>
      </c>
      <c r="C361" s="329"/>
      <c r="D361" s="68" t="s">
        <v>486</v>
      </c>
      <c r="E361" s="69">
        <f>3726000+2497762</f>
        <v>6223762</v>
      </c>
      <c r="F361" s="69">
        <v>0</v>
      </c>
      <c r="G361" s="361">
        <f t="shared" si="111"/>
        <v>0</v>
      </c>
    </row>
    <row r="362" spans="2:7" x14ac:dyDescent="0.2">
      <c r="B362" s="58">
        <f t="shared" si="110"/>
        <v>18</v>
      </c>
      <c r="C362" s="329"/>
      <c r="D362" s="68" t="s">
        <v>487</v>
      </c>
      <c r="E362" s="69">
        <f>4600+110094</f>
        <v>114694</v>
      </c>
      <c r="F362" s="69">
        <v>0</v>
      </c>
      <c r="G362" s="361">
        <f t="shared" si="111"/>
        <v>0</v>
      </c>
    </row>
    <row r="363" spans="2:7" x14ac:dyDescent="0.2">
      <c r="B363" s="58">
        <f t="shared" si="110"/>
        <v>19</v>
      </c>
      <c r="C363" s="329"/>
      <c r="D363" s="68" t="s">
        <v>488</v>
      </c>
      <c r="E363" s="69">
        <v>276000</v>
      </c>
      <c r="F363" s="69">
        <v>0</v>
      </c>
      <c r="G363" s="361">
        <f t="shared" si="111"/>
        <v>0</v>
      </c>
    </row>
    <row r="364" spans="2:7" ht="24" x14ac:dyDescent="0.2">
      <c r="B364" s="58">
        <f t="shared" si="110"/>
        <v>20</v>
      </c>
      <c r="C364" s="329"/>
      <c r="D364" s="68" t="s">
        <v>606</v>
      </c>
      <c r="E364" s="69">
        <v>400000</v>
      </c>
      <c r="F364" s="69">
        <v>431300</v>
      </c>
      <c r="G364" s="361">
        <f t="shared" si="111"/>
        <v>107.82499999999999</v>
      </c>
    </row>
    <row r="365" spans="2:7" x14ac:dyDescent="0.2">
      <c r="B365" s="58">
        <f t="shared" si="110"/>
        <v>21</v>
      </c>
      <c r="C365" s="329"/>
      <c r="D365" s="68" t="s">
        <v>464</v>
      </c>
      <c r="E365" s="69">
        <v>36800</v>
      </c>
      <c r="F365" s="69">
        <v>0</v>
      </c>
      <c r="G365" s="361">
        <f t="shared" si="111"/>
        <v>0</v>
      </c>
    </row>
    <row r="366" spans="2:7" ht="24" x14ac:dyDescent="0.2">
      <c r="B366" s="58">
        <f t="shared" si="110"/>
        <v>22</v>
      </c>
      <c r="C366" s="329"/>
      <c r="D366" s="68" t="s">
        <v>564</v>
      </c>
      <c r="E366" s="69">
        <v>84000</v>
      </c>
      <c r="F366" s="69">
        <v>73980</v>
      </c>
      <c r="G366" s="361">
        <f t="shared" si="111"/>
        <v>88.071428571428569</v>
      </c>
    </row>
    <row r="367" spans="2:7" ht="24" x14ac:dyDescent="0.2">
      <c r="B367" s="58">
        <f t="shared" si="110"/>
        <v>23</v>
      </c>
      <c r="C367" s="329"/>
      <c r="D367" s="68" t="s">
        <v>483</v>
      </c>
      <c r="E367" s="69">
        <v>662400</v>
      </c>
      <c r="F367" s="69">
        <v>0</v>
      </c>
      <c r="G367" s="361">
        <f t="shared" si="111"/>
        <v>0</v>
      </c>
    </row>
    <row r="368" spans="2:7" x14ac:dyDescent="0.2">
      <c r="B368" s="58">
        <f t="shared" si="110"/>
        <v>24</v>
      </c>
      <c r="C368" s="329"/>
      <c r="D368" s="68" t="s">
        <v>491</v>
      </c>
      <c r="E368" s="69">
        <v>8924000</v>
      </c>
      <c r="F368" s="69">
        <v>1047611</v>
      </c>
      <c r="G368" s="361">
        <f t="shared" si="111"/>
        <v>11.739253697893322</v>
      </c>
    </row>
    <row r="369" spans="2:8" ht="24" x14ac:dyDescent="0.2">
      <c r="B369" s="58">
        <f t="shared" si="110"/>
        <v>25</v>
      </c>
      <c r="C369" s="329"/>
      <c r="D369" s="68" t="s">
        <v>420</v>
      </c>
      <c r="E369" s="69">
        <v>1564000</v>
      </c>
      <c r="F369" s="69">
        <v>0</v>
      </c>
      <c r="G369" s="361">
        <f t="shared" si="111"/>
        <v>0</v>
      </c>
      <c r="H369" s="354"/>
    </row>
    <row r="370" spans="2:8" x14ac:dyDescent="0.2">
      <c r="B370" s="58">
        <f t="shared" si="110"/>
        <v>26</v>
      </c>
      <c r="C370" s="329"/>
      <c r="D370" s="68" t="s">
        <v>422</v>
      </c>
      <c r="E370" s="69">
        <f>782000+211600+94392</f>
        <v>1087992</v>
      </c>
      <c r="F370" s="69">
        <v>0</v>
      </c>
      <c r="G370" s="361">
        <f t="shared" si="111"/>
        <v>0</v>
      </c>
    </row>
    <row r="371" spans="2:8" x14ac:dyDescent="0.2">
      <c r="B371" s="58">
        <f t="shared" si="110"/>
        <v>27</v>
      </c>
      <c r="C371" s="329"/>
      <c r="D371" s="68" t="s">
        <v>495</v>
      </c>
      <c r="E371" s="69">
        <v>1840000</v>
      </c>
      <c r="F371" s="69">
        <v>0</v>
      </c>
      <c r="G371" s="361">
        <f t="shared" si="111"/>
        <v>0</v>
      </c>
    </row>
    <row r="372" spans="2:8" x14ac:dyDescent="0.2">
      <c r="B372" s="58">
        <f t="shared" si="110"/>
        <v>28</v>
      </c>
      <c r="C372" s="329"/>
      <c r="D372" s="68" t="s">
        <v>484</v>
      </c>
      <c r="E372" s="69">
        <f>2649600-441600</f>
        <v>2208000</v>
      </c>
      <c r="F372" s="69">
        <v>0</v>
      </c>
      <c r="G372" s="361">
        <f t="shared" si="111"/>
        <v>0</v>
      </c>
    </row>
    <row r="373" spans="2:8" x14ac:dyDescent="0.2">
      <c r="B373" s="58">
        <f t="shared" si="110"/>
        <v>29</v>
      </c>
      <c r="C373" s="329"/>
      <c r="D373" s="68" t="s">
        <v>301</v>
      </c>
      <c r="E373" s="69">
        <v>1656000</v>
      </c>
      <c r="F373" s="69">
        <v>0</v>
      </c>
      <c r="G373" s="361">
        <f t="shared" si="111"/>
        <v>0</v>
      </c>
    </row>
    <row r="374" spans="2:8" x14ac:dyDescent="0.2">
      <c r="B374" s="58">
        <f t="shared" si="110"/>
        <v>30</v>
      </c>
      <c r="C374" s="329"/>
      <c r="D374" s="68" t="s">
        <v>607</v>
      </c>
      <c r="E374" s="69">
        <v>155027</v>
      </c>
      <c r="F374" s="69">
        <v>155027</v>
      </c>
      <c r="G374" s="361">
        <f t="shared" si="111"/>
        <v>100</v>
      </c>
    </row>
    <row r="375" spans="2:8" x14ac:dyDescent="0.2">
      <c r="B375" s="58">
        <f t="shared" si="110"/>
        <v>31</v>
      </c>
      <c r="C375" s="329"/>
      <c r="D375" s="68" t="s">
        <v>608</v>
      </c>
      <c r="E375" s="69">
        <v>8619</v>
      </c>
      <c r="F375" s="69">
        <v>8619</v>
      </c>
      <c r="G375" s="361">
        <f t="shared" si="111"/>
        <v>100</v>
      </c>
    </row>
    <row r="376" spans="2:8" x14ac:dyDescent="0.2">
      <c r="B376" s="58">
        <f t="shared" si="110"/>
        <v>32</v>
      </c>
      <c r="C376" s="329"/>
      <c r="D376" s="68" t="s">
        <v>457</v>
      </c>
      <c r="E376" s="69">
        <v>920000</v>
      </c>
      <c r="F376" s="69">
        <v>0</v>
      </c>
      <c r="G376" s="361">
        <f t="shared" si="111"/>
        <v>0</v>
      </c>
    </row>
    <row r="377" spans="2:8" x14ac:dyDescent="0.2">
      <c r="B377" s="58">
        <f t="shared" si="110"/>
        <v>33</v>
      </c>
      <c r="C377" s="329"/>
      <c r="D377" s="68" t="s">
        <v>609</v>
      </c>
      <c r="E377" s="69">
        <v>220800</v>
      </c>
      <c r="F377" s="69">
        <v>0</v>
      </c>
      <c r="G377" s="361">
        <f t="shared" si="111"/>
        <v>0</v>
      </c>
    </row>
    <row r="378" spans="2:8" x14ac:dyDescent="0.2">
      <c r="B378" s="58">
        <f t="shared" si="110"/>
        <v>34</v>
      </c>
      <c r="C378" s="329"/>
      <c r="D378" s="68" t="s">
        <v>489</v>
      </c>
      <c r="E378" s="69">
        <v>13800000</v>
      </c>
      <c r="F378" s="69">
        <v>0</v>
      </c>
      <c r="G378" s="361">
        <f t="shared" si="111"/>
        <v>0</v>
      </c>
    </row>
    <row r="379" spans="2:8" ht="24" x14ac:dyDescent="0.2">
      <c r="B379" s="58">
        <f t="shared" si="110"/>
        <v>35</v>
      </c>
      <c r="C379" s="329"/>
      <c r="D379" s="68" t="s">
        <v>494</v>
      </c>
      <c r="E379" s="69">
        <v>950800</v>
      </c>
      <c r="F379" s="69">
        <v>0</v>
      </c>
      <c r="G379" s="361">
        <f t="shared" si="111"/>
        <v>0</v>
      </c>
    </row>
    <row r="380" spans="2:8" ht="24" x14ac:dyDescent="0.2">
      <c r="B380" s="58">
        <f t="shared" si="110"/>
        <v>36</v>
      </c>
      <c r="C380" s="329"/>
      <c r="D380" s="68" t="s">
        <v>477</v>
      </c>
      <c r="E380" s="69">
        <v>1316704</v>
      </c>
      <c r="F380" s="69">
        <v>0</v>
      </c>
      <c r="G380" s="361">
        <f t="shared" si="111"/>
        <v>0</v>
      </c>
    </row>
    <row r="381" spans="2:8" ht="24" x14ac:dyDescent="0.2">
      <c r="B381" s="58">
        <f t="shared" si="110"/>
        <v>37</v>
      </c>
      <c r="C381" s="330"/>
      <c r="D381" s="68" t="s">
        <v>610</v>
      </c>
      <c r="E381" s="71">
        <v>200000</v>
      </c>
      <c r="F381" s="71">
        <v>166823</v>
      </c>
      <c r="G381" s="361">
        <f t="shared" si="111"/>
        <v>83.411500000000004</v>
      </c>
    </row>
    <row r="382" spans="2:8" ht="24" x14ac:dyDescent="0.2">
      <c r="B382" s="58"/>
      <c r="C382" s="330"/>
      <c r="D382" s="70" t="s">
        <v>755</v>
      </c>
      <c r="E382" s="71">
        <v>0</v>
      </c>
      <c r="F382" s="71">
        <v>7063</v>
      </c>
      <c r="G382" s="361">
        <v>0</v>
      </c>
    </row>
    <row r="383" spans="2:8" x14ac:dyDescent="0.2">
      <c r="B383" s="58">
        <f>B381+1</f>
        <v>38</v>
      </c>
      <c r="C383" s="330"/>
      <c r="D383" s="70" t="s">
        <v>611</v>
      </c>
      <c r="E383" s="71">
        <v>29070</v>
      </c>
      <c r="F383" s="71">
        <v>29070</v>
      </c>
      <c r="G383" s="361">
        <f t="shared" si="111"/>
        <v>100</v>
      </c>
    </row>
    <row r="384" spans="2:8" x14ac:dyDescent="0.2">
      <c r="B384" s="58">
        <f t="shared" si="110"/>
        <v>39</v>
      </c>
      <c r="C384" s="330"/>
      <c r="D384" s="70" t="s">
        <v>476</v>
      </c>
      <c r="E384" s="71">
        <v>1748000</v>
      </c>
      <c r="F384" s="71">
        <v>0</v>
      </c>
      <c r="G384" s="361">
        <f t="shared" si="111"/>
        <v>0</v>
      </c>
    </row>
    <row r="385" spans="2:7" ht="13.5" thickBot="1" x14ac:dyDescent="0.25">
      <c r="B385" s="58">
        <f t="shared" si="110"/>
        <v>40</v>
      </c>
      <c r="C385" s="330"/>
      <c r="D385" s="70" t="s">
        <v>468</v>
      </c>
      <c r="E385" s="71">
        <v>115000</v>
      </c>
      <c r="F385" s="71">
        <v>0</v>
      </c>
      <c r="G385" s="361">
        <f t="shared" si="111"/>
        <v>0</v>
      </c>
    </row>
    <row r="386" spans="2:7" ht="15.75" thickBot="1" x14ac:dyDescent="0.3">
      <c r="B386" s="58">
        <f t="shared" si="110"/>
        <v>41</v>
      </c>
      <c r="C386" s="312">
        <v>2</v>
      </c>
      <c r="D386" s="33" t="s">
        <v>11</v>
      </c>
      <c r="E386" s="34">
        <f t="shared" ref="E386:F388" si="112">E387</f>
        <v>306022</v>
      </c>
      <c r="F386" s="34">
        <f t="shared" si="112"/>
        <v>0</v>
      </c>
      <c r="G386" s="361">
        <f t="shared" si="111"/>
        <v>0</v>
      </c>
    </row>
    <row r="387" spans="2:7" x14ac:dyDescent="0.2">
      <c r="B387" s="58">
        <f t="shared" si="110"/>
        <v>42</v>
      </c>
      <c r="C387" s="324">
        <v>320</v>
      </c>
      <c r="D387" s="23" t="s">
        <v>260</v>
      </c>
      <c r="E387" s="24">
        <f t="shared" si="112"/>
        <v>306022</v>
      </c>
      <c r="F387" s="24">
        <f t="shared" si="112"/>
        <v>0</v>
      </c>
      <c r="G387" s="361">
        <f t="shared" si="111"/>
        <v>0</v>
      </c>
    </row>
    <row r="388" spans="2:7" x14ac:dyDescent="0.2">
      <c r="B388" s="58">
        <f t="shared" si="110"/>
        <v>43</v>
      </c>
      <c r="C388" s="328">
        <v>322001</v>
      </c>
      <c r="D388" s="65" t="s">
        <v>261</v>
      </c>
      <c r="E388" s="66">
        <f t="shared" si="112"/>
        <v>306022</v>
      </c>
      <c r="F388" s="66">
        <f t="shared" si="112"/>
        <v>0</v>
      </c>
      <c r="G388" s="361">
        <f t="shared" si="111"/>
        <v>0</v>
      </c>
    </row>
    <row r="389" spans="2:7" ht="24" x14ac:dyDescent="0.2">
      <c r="B389" s="58">
        <f t="shared" si="110"/>
        <v>44</v>
      </c>
      <c r="C389" s="329"/>
      <c r="D389" s="68" t="s">
        <v>598</v>
      </c>
      <c r="E389" s="69">
        <v>306022</v>
      </c>
      <c r="F389" s="69">
        <v>0</v>
      </c>
      <c r="G389" s="361">
        <f t="shared" si="111"/>
        <v>0</v>
      </c>
    </row>
    <row r="390" spans="2:7" ht="15" x14ac:dyDescent="0.2">
      <c r="B390" s="58">
        <f t="shared" si="110"/>
        <v>45</v>
      </c>
      <c r="C390" s="331"/>
      <c r="D390" s="72" t="s">
        <v>39</v>
      </c>
      <c r="E390" s="73">
        <f>E351+E345</f>
        <v>64092033</v>
      </c>
      <c r="F390" s="73">
        <f>F351+F345</f>
        <v>5704007</v>
      </c>
      <c r="G390" s="361">
        <f t="shared" si="111"/>
        <v>8.8997130111319773</v>
      </c>
    </row>
    <row r="392" spans="2:7" ht="6.75" customHeight="1" x14ac:dyDescent="0.2">
      <c r="B392" s="483" t="s">
        <v>303</v>
      </c>
      <c r="C392" s="484"/>
      <c r="D392" s="484"/>
      <c r="E392" s="472" t="s">
        <v>740</v>
      </c>
      <c r="F392" s="480" t="s">
        <v>739</v>
      </c>
      <c r="G392" s="462" t="s">
        <v>738</v>
      </c>
    </row>
    <row r="393" spans="2:7" ht="12.75" customHeight="1" x14ac:dyDescent="0.2">
      <c r="B393" s="485"/>
      <c r="C393" s="486"/>
      <c r="D393" s="486"/>
      <c r="E393" s="473"/>
      <c r="F393" s="481"/>
      <c r="G393" s="463"/>
    </row>
    <row r="394" spans="2:7" ht="13.5" customHeight="1" x14ac:dyDescent="0.2">
      <c r="B394" s="488" t="s">
        <v>110</v>
      </c>
      <c r="C394" s="489" t="s">
        <v>112</v>
      </c>
      <c r="D394" s="490" t="s">
        <v>111</v>
      </c>
      <c r="E394" s="473"/>
      <c r="F394" s="481"/>
      <c r="G394" s="463"/>
    </row>
    <row r="395" spans="2:7" ht="6" customHeight="1" x14ac:dyDescent="0.2">
      <c r="B395" s="488"/>
      <c r="C395" s="489"/>
      <c r="D395" s="490"/>
      <c r="E395" s="474"/>
      <c r="F395" s="482"/>
      <c r="G395" s="463"/>
    </row>
    <row r="396" spans="2:7" ht="15" x14ac:dyDescent="0.2">
      <c r="B396" s="74">
        <v>1</v>
      </c>
      <c r="C396" s="75"/>
      <c r="D396" s="75" t="s">
        <v>113</v>
      </c>
      <c r="E396" s="76">
        <f>E339</f>
        <v>76317915</v>
      </c>
      <c r="F396" s="76">
        <f>F339</f>
        <v>75405875</v>
      </c>
      <c r="G396" s="361">
        <f>F396/E396*100</f>
        <v>98.804946387751812</v>
      </c>
    </row>
    <row r="397" spans="2:7" ht="15" x14ac:dyDescent="0.2">
      <c r="B397" s="74">
        <v>2</v>
      </c>
      <c r="C397" s="75"/>
      <c r="D397" s="75" t="s">
        <v>39</v>
      </c>
      <c r="E397" s="76">
        <f>E390</f>
        <v>64092033</v>
      </c>
      <c r="F397" s="76">
        <f>F390</f>
        <v>5704007</v>
      </c>
      <c r="G397" s="361">
        <f>F397/E397*100</f>
        <v>8.8997130111319773</v>
      </c>
    </row>
    <row r="398" spans="2:7" ht="15" x14ac:dyDescent="0.2">
      <c r="B398" s="77">
        <v>3</v>
      </c>
      <c r="C398" s="78"/>
      <c r="D398" s="78" t="s">
        <v>40</v>
      </c>
      <c r="E398" s="79">
        <f>E396+E397</f>
        <v>140409948</v>
      </c>
      <c r="F398" s="79">
        <f>F396+F397</f>
        <v>81109882</v>
      </c>
      <c r="G398" s="361">
        <f>F398/E398*100</f>
        <v>57.766478198539041</v>
      </c>
    </row>
  </sheetData>
  <mergeCells count="22">
    <mergeCell ref="B2:G2"/>
    <mergeCell ref="F3:F6"/>
    <mergeCell ref="G3:G6"/>
    <mergeCell ref="E392:E395"/>
    <mergeCell ref="E341:E344"/>
    <mergeCell ref="B341:D342"/>
    <mergeCell ref="B343:B344"/>
    <mergeCell ref="B394:B395"/>
    <mergeCell ref="C394:C395"/>
    <mergeCell ref="D394:D395"/>
    <mergeCell ref="B392:D393"/>
    <mergeCell ref="C343:C344"/>
    <mergeCell ref="D343:D344"/>
    <mergeCell ref="F341:F344"/>
    <mergeCell ref="G341:G344"/>
    <mergeCell ref="F392:F395"/>
    <mergeCell ref="G392:G395"/>
    <mergeCell ref="B3:D4"/>
    <mergeCell ref="B5:B6"/>
    <mergeCell ref="E3:E6"/>
    <mergeCell ref="C5:C6"/>
    <mergeCell ref="D5:D6"/>
  </mergeCells>
  <phoneticPr fontId="1" type="noConversion"/>
  <pageMargins left="0.51181102362204722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B2:T2434"/>
  <sheetViews>
    <sheetView showWhiteSpace="0" zoomScale="90" zoomScaleNormal="90" zoomScaleSheetLayoutView="90" workbookViewId="0"/>
  </sheetViews>
  <sheetFormatPr defaultRowHeight="12.75" x14ac:dyDescent="0.2"/>
  <cols>
    <col min="1" max="1" width="1.140625" style="1" customWidth="1"/>
    <col min="2" max="2" width="4" style="128" customWidth="1"/>
    <col min="3" max="3" width="5.5703125" style="1" customWidth="1"/>
    <col min="4" max="4" width="3.42578125" style="1" customWidth="1"/>
    <col min="5" max="5" width="4.42578125" style="1" customWidth="1"/>
    <col min="6" max="6" width="5.5703125" style="129" customWidth="1"/>
    <col min="7" max="7" width="5" style="129" customWidth="1"/>
    <col min="8" max="8" width="38.7109375" style="1" customWidth="1"/>
    <col min="9" max="9" width="12.5703125" style="14" customWidth="1"/>
    <col min="10" max="10" width="14" style="14" customWidth="1"/>
    <col min="11" max="11" width="6.42578125" style="13" customWidth="1"/>
    <col min="12" max="12" width="13.5703125" style="14" customWidth="1"/>
    <col min="13" max="13" width="12" style="14" customWidth="1"/>
    <col min="14" max="14" width="5.85546875" style="13" customWidth="1"/>
    <col min="15" max="15" width="13" style="14" customWidth="1"/>
    <col min="16" max="16" width="13.5703125" style="1" customWidth="1"/>
    <col min="17" max="17" width="6.85546875" style="1" customWidth="1"/>
    <col min="18" max="18" width="12.140625" style="1" customWidth="1"/>
    <col min="19" max="19" width="12.7109375" style="1" customWidth="1"/>
    <col min="20" max="20" width="13.140625" style="1" customWidth="1"/>
    <col min="21" max="21" width="11.7109375" style="1" customWidth="1"/>
    <col min="22" max="16384" width="9.140625" style="1"/>
  </cols>
  <sheetData>
    <row r="2" spans="2:17" ht="30" customHeight="1" x14ac:dyDescent="0.4">
      <c r="B2" s="499" t="s">
        <v>510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</row>
    <row r="3" spans="2:17" ht="10.5" customHeight="1" x14ac:dyDescent="0.4">
      <c r="B3" s="499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</row>
    <row r="4" spans="2:17" ht="13.5" customHeight="1" x14ac:dyDescent="0.35">
      <c r="B4" s="509" t="s">
        <v>418</v>
      </c>
      <c r="C4" s="510"/>
      <c r="D4" s="510"/>
      <c r="E4" s="510"/>
      <c r="F4" s="510"/>
      <c r="G4" s="510"/>
      <c r="H4" s="510"/>
      <c r="I4" s="510"/>
      <c r="J4" s="510"/>
      <c r="K4" s="511"/>
      <c r="L4" s="510"/>
      <c r="M4" s="510"/>
      <c r="N4" s="511"/>
      <c r="O4" s="501" t="s">
        <v>741</v>
      </c>
      <c r="P4" s="512" t="s">
        <v>739</v>
      </c>
      <c r="Q4" s="514" t="s">
        <v>738</v>
      </c>
    </row>
    <row r="5" spans="2:17" ht="19.5" customHeight="1" x14ac:dyDescent="0.2">
      <c r="B5" s="503"/>
      <c r="C5" s="504" t="s">
        <v>114</v>
      </c>
      <c r="D5" s="504" t="s">
        <v>115</v>
      </c>
      <c r="E5" s="504"/>
      <c r="F5" s="504" t="s">
        <v>116</v>
      </c>
      <c r="G5" s="506" t="s">
        <v>117</v>
      </c>
      <c r="H5" s="507" t="s">
        <v>118</v>
      </c>
      <c r="I5" s="508" t="s">
        <v>742</v>
      </c>
      <c r="J5" s="508" t="s">
        <v>744</v>
      </c>
      <c r="K5" s="517" t="s">
        <v>738</v>
      </c>
      <c r="L5" s="505" t="s">
        <v>743</v>
      </c>
      <c r="M5" s="508" t="s">
        <v>745</v>
      </c>
      <c r="N5" s="520" t="s">
        <v>738</v>
      </c>
      <c r="O5" s="502"/>
      <c r="P5" s="513"/>
      <c r="Q5" s="515"/>
    </row>
    <row r="6" spans="2:17" ht="14.25" customHeight="1" x14ac:dyDescent="0.2">
      <c r="B6" s="503"/>
      <c r="C6" s="504"/>
      <c r="D6" s="504"/>
      <c r="E6" s="504"/>
      <c r="F6" s="504"/>
      <c r="G6" s="506"/>
      <c r="H6" s="507"/>
      <c r="I6" s="508"/>
      <c r="J6" s="508"/>
      <c r="K6" s="518"/>
      <c r="L6" s="505"/>
      <c r="M6" s="508"/>
      <c r="N6" s="521"/>
      <c r="O6" s="502"/>
      <c r="P6" s="513"/>
      <c r="Q6" s="515"/>
    </row>
    <row r="7" spans="2:17" ht="11.25" customHeight="1" x14ac:dyDescent="0.2">
      <c r="B7" s="503"/>
      <c r="C7" s="504"/>
      <c r="D7" s="504"/>
      <c r="E7" s="504"/>
      <c r="F7" s="504"/>
      <c r="G7" s="506"/>
      <c r="H7" s="507"/>
      <c r="I7" s="508"/>
      <c r="J7" s="508"/>
      <c r="K7" s="518"/>
      <c r="L7" s="505"/>
      <c r="M7" s="508"/>
      <c r="N7" s="521"/>
      <c r="O7" s="502"/>
      <c r="P7" s="513"/>
      <c r="Q7" s="515"/>
    </row>
    <row r="8" spans="2:17" ht="4.5" customHeight="1" x14ac:dyDescent="0.2">
      <c r="B8" s="503"/>
      <c r="C8" s="504"/>
      <c r="D8" s="504"/>
      <c r="E8" s="504"/>
      <c r="F8" s="504"/>
      <c r="G8" s="506"/>
      <c r="H8" s="507"/>
      <c r="I8" s="508"/>
      <c r="J8" s="508"/>
      <c r="K8" s="519"/>
      <c r="L8" s="505"/>
      <c r="M8" s="508"/>
      <c r="N8" s="521"/>
      <c r="O8" s="502"/>
      <c r="P8" s="513"/>
      <c r="Q8" s="516"/>
    </row>
    <row r="9" spans="2:17" ht="21.75" customHeight="1" x14ac:dyDescent="0.2">
      <c r="B9" s="18">
        <v>1</v>
      </c>
      <c r="C9" s="548" t="s">
        <v>37</v>
      </c>
      <c r="D9" s="549"/>
      <c r="E9" s="549"/>
      <c r="F9" s="549"/>
      <c r="G9" s="549"/>
      <c r="H9" s="549"/>
      <c r="I9" s="80">
        <f>I72+I69+I60+I46+I31+I10</f>
        <v>1145707</v>
      </c>
      <c r="J9" s="80">
        <f>J72+J69+J60+J46+J31+J10</f>
        <v>868548</v>
      </c>
      <c r="K9" s="361">
        <f>J9/I9*100</f>
        <v>75.808911004296903</v>
      </c>
      <c r="L9" s="80">
        <f>L72+L69+L60+L46+L31+L10</f>
        <v>370778</v>
      </c>
      <c r="M9" s="80">
        <f>M72+M69+M60+M46+M31+M10</f>
        <v>55110</v>
      </c>
      <c r="N9" s="361">
        <f t="shared" ref="N9:N56" si="0">M9/L9*100</f>
        <v>14.863341406448063</v>
      </c>
      <c r="O9" s="81">
        <f t="shared" ref="O9:O40" si="1">I9+L9</f>
        <v>1516485</v>
      </c>
      <c r="P9" s="81">
        <f t="shared" ref="P9:P40" si="2">J9+M9</f>
        <v>923658</v>
      </c>
      <c r="Q9" s="361">
        <f>P9/O9*100</f>
        <v>60.907823024955732</v>
      </c>
    </row>
    <row r="10" spans="2:17" ht="15" x14ac:dyDescent="0.2">
      <c r="B10" s="18">
        <f t="shared" ref="B10:B72" si="3">B9+1</f>
        <v>2</v>
      </c>
      <c r="C10" s="82">
        <v>1</v>
      </c>
      <c r="D10" s="495" t="s">
        <v>190</v>
      </c>
      <c r="E10" s="496"/>
      <c r="F10" s="496"/>
      <c r="G10" s="496"/>
      <c r="H10" s="496"/>
      <c r="I10" s="83">
        <f>I24+I21+I18+I11</f>
        <v>219100</v>
      </c>
      <c r="J10" s="83">
        <f>J24+J21+J18+J11</f>
        <v>208104</v>
      </c>
      <c r="K10" s="361">
        <f>J10/I10*100</f>
        <v>94.981287083523497</v>
      </c>
      <c r="L10" s="83"/>
      <c r="M10" s="83"/>
      <c r="N10" s="361"/>
      <c r="O10" s="85">
        <f t="shared" si="1"/>
        <v>219100</v>
      </c>
      <c r="P10" s="85">
        <f t="shared" si="2"/>
        <v>208104</v>
      </c>
      <c r="Q10" s="361">
        <f t="shared" ref="Q10:Q72" si="4">P10/O10*100</f>
        <v>94.981287083523497</v>
      </c>
    </row>
    <row r="11" spans="2:17" ht="15" x14ac:dyDescent="0.25">
      <c r="B11" s="18">
        <f t="shared" si="3"/>
        <v>3</v>
      </c>
      <c r="C11" s="86"/>
      <c r="D11" s="86">
        <v>1</v>
      </c>
      <c r="E11" s="546" t="s">
        <v>204</v>
      </c>
      <c r="F11" s="547"/>
      <c r="G11" s="547"/>
      <c r="H11" s="547"/>
      <c r="I11" s="87">
        <f>I12</f>
        <v>37800</v>
      </c>
      <c r="J11" s="87">
        <f>J12</f>
        <v>31630</v>
      </c>
      <c r="K11" s="361">
        <f t="shared" ref="K11:K72" si="5">J11/I11*100</f>
        <v>83.67724867724867</v>
      </c>
      <c r="L11" s="87"/>
      <c r="M11" s="87"/>
      <c r="N11" s="361"/>
      <c r="O11" s="89">
        <f t="shared" si="1"/>
        <v>37800</v>
      </c>
      <c r="P11" s="89">
        <f t="shared" si="2"/>
        <v>31630</v>
      </c>
      <c r="Q11" s="361">
        <f t="shared" si="4"/>
        <v>83.67724867724867</v>
      </c>
    </row>
    <row r="12" spans="2:17" x14ac:dyDescent="0.2">
      <c r="B12" s="18">
        <f t="shared" si="3"/>
        <v>4</v>
      </c>
      <c r="C12" s="3"/>
      <c r="D12" s="3"/>
      <c r="E12" s="3"/>
      <c r="F12" s="90" t="s">
        <v>73</v>
      </c>
      <c r="G12" s="2">
        <v>630</v>
      </c>
      <c r="H12" s="3" t="s">
        <v>121</v>
      </c>
      <c r="I12" s="4">
        <f>I17+I16+I15+I14+I13</f>
        <v>37800</v>
      </c>
      <c r="J12" s="4">
        <f>J17+J16+J15+J14+J13</f>
        <v>31630</v>
      </c>
      <c r="K12" s="361">
        <f t="shared" si="5"/>
        <v>83.67724867724867</v>
      </c>
      <c r="L12" s="4"/>
      <c r="M12" s="4"/>
      <c r="N12" s="361"/>
      <c r="O12" s="92">
        <f t="shared" si="1"/>
        <v>37800</v>
      </c>
      <c r="P12" s="92">
        <f t="shared" si="2"/>
        <v>31630</v>
      </c>
      <c r="Q12" s="361">
        <f t="shared" si="4"/>
        <v>83.67724867724867</v>
      </c>
    </row>
    <row r="13" spans="2:17" x14ac:dyDescent="0.2">
      <c r="B13" s="18">
        <f t="shared" si="3"/>
        <v>5</v>
      </c>
      <c r="C13" s="6"/>
      <c r="D13" s="6"/>
      <c r="E13" s="6"/>
      <c r="F13" s="93"/>
      <c r="G13" s="5">
        <v>631</v>
      </c>
      <c r="H13" s="6" t="s">
        <v>127</v>
      </c>
      <c r="I13" s="7">
        <f>8000-1500</f>
        <v>6500</v>
      </c>
      <c r="J13" s="7">
        <v>5035</v>
      </c>
      <c r="K13" s="361">
        <f t="shared" si="5"/>
        <v>77.461538461538453</v>
      </c>
      <c r="L13" s="7"/>
      <c r="M13" s="7"/>
      <c r="N13" s="361"/>
      <c r="O13" s="95">
        <f t="shared" si="1"/>
        <v>6500</v>
      </c>
      <c r="P13" s="95">
        <f t="shared" si="2"/>
        <v>5035</v>
      </c>
      <c r="Q13" s="361">
        <f t="shared" si="4"/>
        <v>77.461538461538453</v>
      </c>
    </row>
    <row r="14" spans="2:17" x14ac:dyDescent="0.2">
      <c r="B14" s="18">
        <f t="shared" si="3"/>
        <v>6</v>
      </c>
      <c r="C14" s="6"/>
      <c r="D14" s="6"/>
      <c r="E14" s="6"/>
      <c r="F14" s="93"/>
      <c r="G14" s="5">
        <v>633</v>
      </c>
      <c r="H14" s="6" t="s">
        <v>125</v>
      </c>
      <c r="I14" s="7">
        <v>15000</v>
      </c>
      <c r="J14" s="7">
        <v>14450</v>
      </c>
      <c r="K14" s="361">
        <f t="shared" si="5"/>
        <v>96.333333333333343</v>
      </c>
      <c r="L14" s="7"/>
      <c r="M14" s="7"/>
      <c r="N14" s="361"/>
      <c r="O14" s="95">
        <f t="shared" si="1"/>
        <v>15000</v>
      </c>
      <c r="P14" s="95">
        <f t="shared" si="2"/>
        <v>14450</v>
      </c>
      <c r="Q14" s="361">
        <f t="shared" si="4"/>
        <v>96.333333333333343</v>
      </c>
    </row>
    <row r="15" spans="2:17" x14ac:dyDescent="0.2">
      <c r="B15" s="18">
        <f t="shared" si="3"/>
        <v>7</v>
      </c>
      <c r="C15" s="6"/>
      <c r="D15" s="6"/>
      <c r="E15" s="6"/>
      <c r="F15" s="93"/>
      <c r="G15" s="5">
        <v>634</v>
      </c>
      <c r="H15" s="6" t="s">
        <v>132</v>
      </c>
      <c r="I15" s="7">
        <f>2000-600</f>
        <v>1400</v>
      </c>
      <c r="J15" s="7">
        <v>240</v>
      </c>
      <c r="K15" s="361">
        <f t="shared" si="5"/>
        <v>17.142857142857142</v>
      </c>
      <c r="L15" s="7"/>
      <c r="M15" s="7"/>
      <c r="N15" s="361"/>
      <c r="O15" s="95">
        <f t="shared" si="1"/>
        <v>1400</v>
      </c>
      <c r="P15" s="95">
        <f t="shared" si="2"/>
        <v>240</v>
      </c>
      <c r="Q15" s="361">
        <f t="shared" si="4"/>
        <v>17.142857142857142</v>
      </c>
    </row>
    <row r="16" spans="2:17" x14ac:dyDescent="0.2">
      <c r="B16" s="18">
        <f t="shared" si="3"/>
        <v>8</v>
      </c>
      <c r="C16" s="6"/>
      <c r="D16" s="6"/>
      <c r="E16" s="6"/>
      <c r="F16" s="93"/>
      <c r="G16" s="5">
        <v>636</v>
      </c>
      <c r="H16" s="6" t="s">
        <v>126</v>
      </c>
      <c r="I16" s="7">
        <v>1700</v>
      </c>
      <c r="J16" s="7">
        <v>412</v>
      </c>
      <c r="K16" s="361">
        <f t="shared" si="5"/>
        <v>24.235294117647058</v>
      </c>
      <c r="L16" s="7"/>
      <c r="M16" s="7"/>
      <c r="N16" s="361"/>
      <c r="O16" s="95">
        <f t="shared" si="1"/>
        <v>1700</v>
      </c>
      <c r="P16" s="95">
        <f t="shared" si="2"/>
        <v>412</v>
      </c>
      <c r="Q16" s="361">
        <f t="shared" si="4"/>
        <v>24.235294117647058</v>
      </c>
    </row>
    <row r="17" spans="2:17" x14ac:dyDescent="0.2">
      <c r="B17" s="18">
        <f t="shared" si="3"/>
        <v>9</v>
      </c>
      <c r="C17" s="6"/>
      <c r="D17" s="6"/>
      <c r="E17" s="6"/>
      <c r="F17" s="93"/>
      <c r="G17" s="5">
        <v>637</v>
      </c>
      <c r="H17" s="6" t="s">
        <v>122</v>
      </c>
      <c r="I17" s="7">
        <f>10000-1600+4800</f>
        <v>13200</v>
      </c>
      <c r="J17" s="7">
        <v>11493</v>
      </c>
      <c r="K17" s="361">
        <f t="shared" si="5"/>
        <v>87.068181818181827</v>
      </c>
      <c r="L17" s="7"/>
      <c r="M17" s="7"/>
      <c r="N17" s="361"/>
      <c r="O17" s="95">
        <f t="shared" si="1"/>
        <v>13200</v>
      </c>
      <c r="P17" s="95">
        <f t="shared" si="2"/>
        <v>11493</v>
      </c>
      <c r="Q17" s="361">
        <f t="shared" si="4"/>
        <v>87.068181818181827</v>
      </c>
    </row>
    <row r="18" spans="2:17" ht="15" x14ac:dyDescent="0.25">
      <c r="B18" s="18">
        <f t="shared" si="3"/>
        <v>10</v>
      </c>
      <c r="C18" s="96"/>
      <c r="D18" s="96">
        <v>2</v>
      </c>
      <c r="E18" s="497" t="s">
        <v>232</v>
      </c>
      <c r="F18" s="498"/>
      <c r="G18" s="498"/>
      <c r="H18" s="498"/>
      <c r="I18" s="97">
        <f>I19</f>
        <v>3000</v>
      </c>
      <c r="J18" s="97">
        <f>J19</f>
        <v>2808</v>
      </c>
      <c r="K18" s="361">
        <f t="shared" si="5"/>
        <v>93.600000000000009</v>
      </c>
      <c r="L18" s="97"/>
      <c r="M18" s="97"/>
      <c r="N18" s="361"/>
      <c r="O18" s="98">
        <f t="shared" si="1"/>
        <v>3000</v>
      </c>
      <c r="P18" s="98">
        <f t="shared" si="2"/>
        <v>2808</v>
      </c>
      <c r="Q18" s="361">
        <f t="shared" si="4"/>
        <v>93.600000000000009</v>
      </c>
    </row>
    <row r="19" spans="2:17" x14ac:dyDescent="0.2">
      <c r="B19" s="18">
        <f t="shared" si="3"/>
        <v>11</v>
      </c>
      <c r="C19" s="3"/>
      <c r="D19" s="3"/>
      <c r="E19" s="3"/>
      <c r="F19" s="90" t="s">
        <v>73</v>
      </c>
      <c r="G19" s="2">
        <v>630</v>
      </c>
      <c r="H19" s="3" t="s">
        <v>121</v>
      </c>
      <c r="I19" s="4">
        <f>I20</f>
        <v>3000</v>
      </c>
      <c r="J19" s="4">
        <f>J20</f>
        <v>2808</v>
      </c>
      <c r="K19" s="361">
        <f t="shared" si="5"/>
        <v>93.600000000000009</v>
      </c>
      <c r="L19" s="4"/>
      <c r="M19" s="4"/>
      <c r="N19" s="361"/>
      <c r="O19" s="92">
        <f t="shared" si="1"/>
        <v>3000</v>
      </c>
      <c r="P19" s="92">
        <f t="shared" si="2"/>
        <v>2808</v>
      </c>
      <c r="Q19" s="361">
        <f t="shared" si="4"/>
        <v>93.600000000000009</v>
      </c>
    </row>
    <row r="20" spans="2:17" x14ac:dyDescent="0.2">
      <c r="B20" s="18">
        <f t="shared" si="3"/>
        <v>12</v>
      </c>
      <c r="C20" s="6"/>
      <c r="D20" s="6"/>
      <c r="E20" s="6"/>
      <c r="F20" s="93"/>
      <c r="G20" s="5">
        <v>633</v>
      </c>
      <c r="H20" s="6" t="s">
        <v>125</v>
      </c>
      <c r="I20" s="7">
        <v>3000</v>
      </c>
      <c r="J20" s="7">
        <v>2808</v>
      </c>
      <c r="K20" s="361">
        <f t="shared" si="5"/>
        <v>93.600000000000009</v>
      </c>
      <c r="L20" s="7"/>
      <c r="M20" s="7"/>
      <c r="N20" s="361"/>
      <c r="O20" s="95">
        <f t="shared" si="1"/>
        <v>3000</v>
      </c>
      <c r="P20" s="95">
        <f t="shared" si="2"/>
        <v>2808</v>
      </c>
      <c r="Q20" s="361">
        <f t="shared" si="4"/>
        <v>93.600000000000009</v>
      </c>
    </row>
    <row r="21" spans="2:17" ht="15" x14ac:dyDescent="0.25">
      <c r="B21" s="18">
        <f t="shared" si="3"/>
        <v>13</v>
      </c>
      <c r="C21" s="96"/>
      <c r="D21" s="96">
        <v>3</v>
      </c>
      <c r="E21" s="497" t="s">
        <v>233</v>
      </c>
      <c r="F21" s="498"/>
      <c r="G21" s="498"/>
      <c r="H21" s="498"/>
      <c r="I21" s="97">
        <f>I22</f>
        <v>2500</v>
      </c>
      <c r="J21" s="97">
        <f>J22</f>
        <v>2224</v>
      </c>
      <c r="K21" s="361">
        <f t="shared" si="5"/>
        <v>88.96</v>
      </c>
      <c r="L21" s="97"/>
      <c r="M21" s="97"/>
      <c r="N21" s="361"/>
      <c r="O21" s="98">
        <f t="shared" si="1"/>
        <v>2500</v>
      </c>
      <c r="P21" s="98">
        <f t="shared" si="2"/>
        <v>2224</v>
      </c>
      <c r="Q21" s="361">
        <f t="shared" si="4"/>
        <v>88.96</v>
      </c>
    </row>
    <row r="22" spans="2:17" x14ac:dyDescent="0.2">
      <c r="B22" s="18">
        <f t="shared" si="3"/>
        <v>14</v>
      </c>
      <c r="C22" s="3"/>
      <c r="D22" s="3"/>
      <c r="E22" s="3"/>
      <c r="F22" s="90" t="s">
        <v>73</v>
      </c>
      <c r="G22" s="2">
        <v>630</v>
      </c>
      <c r="H22" s="3" t="s">
        <v>121</v>
      </c>
      <c r="I22" s="4">
        <f>I23</f>
        <v>2500</v>
      </c>
      <c r="J22" s="4">
        <f>J23</f>
        <v>2224</v>
      </c>
      <c r="K22" s="361">
        <f t="shared" si="5"/>
        <v>88.96</v>
      </c>
      <c r="L22" s="4"/>
      <c r="M22" s="4"/>
      <c r="N22" s="361"/>
      <c r="O22" s="92">
        <f t="shared" si="1"/>
        <v>2500</v>
      </c>
      <c r="P22" s="92">
        <f t="shared" si="2"/>
        <v>2224</v>
      </c>
      <c r="Q22" s="361">
        <f t="shared" si="4"/>
        <v>88.96</v>
      </c>
    </row>
    <row r="23" spans="2:17" x14ac:dyDescent="0.2">
      <c r="B23" s="18">
        <f t="shared" si="3"/>
        <v>15</v>
      </c>
      <c r="C23" s="6"/>
      <c r="D23" s="6"/>
      <c r="E23" s="6"/>
      <c r="F23" s="93"/>
      <c r="G23" s="5">
        <v>633</v>
      </c>
      <c r="H23" s="6" t="s">
        <v>125</v>
      </c>
      <c r="I23" s="7">
        <v>2500</v>
      </c>
      <c r="J23" s="7">
        <v>2224</v>
      </c>
      <c r="K23" s="361">
        <f t="shared" si="5"/>
        <v>88.96</v>
      </c>
      <c r="L23" s="7"/>
      <c r="M23" s="7"/>
      <c r="N23" s="361"/>
      <c r="O23" s="95">
        <f t="shared" si="1"/>
        <v>2500</v>
      </c>
      <c r="P23" s="95">
        <f t="shared" si="2"/>
        <v>2224</v>
      </c>
      <c r="Q23" s="361">
        <f t="shared" si="4"/>
        <v>88.96</v>
      </c>
    </row>
    <row r="24" spans="2:17" ht="15" x14ac:dyDescent="0.25">
      <c r="B24" s="18">
        <f t="shared" si="3"/>
        <v>16</v>
      </c>
      <c r="C24" s="96"/>
      <c r="D24" s="96">
        <v>4</v>
      </c>
      <c r="E24" s="497" t="s">
        <v>189</v>
      </c>
      <c r="F24" s="498"/>
      <c r="G24" s="498"/>
      <c r="H24" s="498"/>
      <c r="I24" s="97">
        <f>I25+I26+I30</f>
        <v>175800</v>
      </c>
      <c r="J24" s="97">
        <f>J25+J26+J30</f>
        <v>171442</v>
      </c>
      <c r="K24" s="361">
        <f t="shared" si="5"/>
        <v>97.521046643913536</v>
      </c>
      <c r="L24" s="97"/>
      <c r="M24" s="97"/>
      <c r="N24" s="361"/>
      <c r="O24" s="98">
        <f t="shared" si="1"/>
        <v>175800</v>
      </c>
      <c r="P24" s="98">
        <f t="shared" si="2"/>
        <v>171442</v>
      </c>
      <c r="Q24" s="361">
        <f t="shared" si="4"/>
        <v>97.521046643913536</v>
      </c>
    </row>
    <row r="25" spans="2:17" x14ac:dyDescent="0.2">
      <c r="B25" s="18">
        <f t="shared" si="3"/>
        <v>17</v>
      </c>
      <c r="C25" s="3"/>
      <c r="D25" s="3"/>
      <c r="E25" s="3"/>
      <c r="F25" s="90" t="s">
        <v>73</v>
      </c>
      <c r="G25" s="2">
        <v>620</v>
      </c>
      <c r="H25" s="3" t="s">
        <v>124</v>
      </c>
      <c r="I25" s="4">
        <f>35000+6800</f>
        <v>41800</v>
      </c>
      <c r="J25" s="4">
        <v>41733</v>
      </c>
      <c r="K25" s="361">
        <f t="shared" si="5"/>
        <v>99.839712918660283</v>
      </c>
      <c r="L25" s="4"/>
      <c r="M25" s="4"/>
      <c r="N25" s="361"/>
      <c r="O25" s="92">
        <f t="shared" si="1"/>
        <v>41800</v>
      </c>
      <c r="P25" s="92">
        <f t="shared" si="2"/>
        <v>41733</v>
      </c>
      <c r="Q25" s="361">
        <f t="shared" si="4"/>
        <v>99.839712918660283</v>
      </c>
    </row>
    <row r="26" spans="2:17" x14ac:dyDescent="0.2">
      <c r="B26" s="18">
        <f t="shared" si="3"/>
        <v>18</v>
      </c>
      <c r="C26" s="3"/>
      <c r="D26" s="3"/>
      <c r="E26" s="3"/>
      <c r="F26" s="90" t="s">
        <v>73</v>
      </c>
      <c r="G26" s="2">
        <v>630</v>
      </c>
      <c r="H26" s="3" t="s">
        <v>121</v>
      </c>
      <c r="I26" s="4">
        <f>I29+I28+I27</f>
        <v>133500</v>
      </c>
      <c r="J26" s="4">
        <f>J29+J28+J27</f>
        <v>129546</v>
      </c>
      <c r="K26" s="361">
        <f t="shared" si="5"/>
        <v>97.038202247191009</v>
      </c>
      <c r="L26" s="4"/>
      <c r="M26" s="4"/>
      <c r="N26" s="361"/>
      <c r="O26" s="92">
        <f t="shared" si="1"/>
        <v>133500</v>
      </c>
      <c r="P26" s="92">
        <f t="shared" si="2"/>
        <v>129546</v>
      </c>
      <c r="Q26" s="361">
        <f t="shared" si="4"/>
        <v>97.038202247191009</v>
      </c>
    </row>
    <row r="27" spans="2:17" x14ac:dyDescent="0.2">
      <c r="B27" s="18">
        <f t="shared" si="3"/>
        <v>19</v>
      </c>
      <c r="C27" s="6"/>
      <c r="D27" s="6"/>
      <c r="E27" s="6"/>
      <c r="F27" s="93"/>
      <c r="G27" s="5">
        <v>632</v>
      </c>
      <c r="H27" s="6" t="s">
        <v>134</v>
      </c>
      <c r="I27" s="7">
        <v>11000</v>
      </c>
      <c r="J27" s="7">
        <v>9199</v>
      </c>
      <c r="K27" s="361">
        <f t="shared" si="5"/>
        <v>83.627272727272725</v>
      </c>
      <c r="L27" s="7"/>
      <c r="M27" s="7"/>
      <c r="N27" s="361"/>
      <c r="O27" s="95">
        <f t="shared" si="1"/>
        <v>11000</v>
      </c>
      <c r="P27" s="95">
        <f t="shared" si="2"/>
        <v>9199</v>
      </c>
      <c r="Q27" s="361">
        <f t="shared" si="4"/>
        <v>83.627272727272725</v>
      </c>
    </row>
    <row r="28" spans="2:17" x14ac:dyDescent="0.2">
      <c r="B28" s="18">
        <f t="shared" si="3"/>
        <v>20</v>
      </c>
      <c r="C28" s="6"/>
      <c r="D28" s="6"/>
      <c r="E28" s="6"/>
      <c r="F28" s="93"/>
      <c r="G28" s="5">
        <v>633</v>
      </c>
      <c r="H28" s="6" t="s">
        <v>125</v>
      </c>
      <c r="I28" s="7">
        <v>2500</v>
      </c>
      <c r="J28" s="7">
        <v>347</v>
      </c>
      <c r="K28" s="361">
        <f t="shared" si="5"/>
        <v>13.88</v>
      </c>
      <c r="L28" s="7"/>
      <c r="M28" s="7"/>
      <c r="N28" s="361"/>
      <c r="O28" s="95">
        <f t="shared" si="1"/>
        <v>2500</v>
      </c>
      <c r="P28" s="95">
        <f t="shared" si="2"/>
        <v>347</v>
      </c>
      <c r="Q28" s="361">
        <f t="shared" si="4"/>
        <v>13.88</v>
      </c>
    </row>
    <row r="29" spans="2:17" x14ac:dyDescent="0.2">
      <c r="B29" s="18">
        <f t="shared" si="3"/>
        <v>21</v>
      </c>
      <c r="C29" s="6"/>
      <c r="D29" s="6"/>
      <c r="E29" s="6"/>
      <c r="F29" s="93"/>
      <c r="G29" s="5">
        <v>637</v>
      </c>
      <c r="H29" s="6" t="s">
        <v>122</v>
      </c>
      <c r="I29" s="7">
        <v>120000</v>
      </c>
      <c r="J29" s="7">
        <v>120000</v>
      </c>
      <c r="K29" s="361">
        <f t="shared" si="5"/>
        <v>100</v>
      </c>
      <c r="L29" s="7"/>
      <c r="M29" s="7"/>
      <c r="N29" s="361"/>
      <c r="O29" s="95">
        <f t="shared" si="1"/>
        <v>120000</v>
      </c>
      <c r="P29" s="95">
        <f t="shared" si="2"/>
        <v>120000</v>
      </c>
      <c r="Q29" s="361">
        <f t="shared" si="4"/>
        <v>100</v>
      </c>
    </row>
    <row r="30" spans="2:17" x14ac:dyDescent="0.2">
      <c r="B30" s="18">
        <f t="shared" si="3"/>
        <v>22</v>
      </c>
      <c r="C30" s="3"/>
      <c r="D30" s="3"/>
      <c r="E30" s="3"/>
      <c r="F30" s="90" t="s">
        <v>73</v>
      </c>
      <c r="G30" s="2">
        <v>640</v>
      </c>
      <c r="H30" s="3" t="s">
        <v>129</v>
      </c>
      <c r="I30" s="4">
        <v>500</v>
      </c>
      <c r="J30" s="4">
        <v>163</v>
      </c>
      <c r="K30" s="361">
        <f t="shared" si="5"/>
        <v>32.6</v>
      </c>
      <c r="L30" s="4"/>
      <c r="M30" s="4"/>
      <c r="N30" s="361"/>
      <c r="O30" s="92">
        <f t="shared" si="1"/>
        <v>500</v>
      </c>
      <c r="P30" s="92">
        <f t="shared" si="2"/>
        <v>163</v>
      </c>
      <c r="Q30" s="361">
        <f t="shared" si="4"/>
        <v>32.6</v>
      </c>
    </row>
    <row r="31" spans="2:17" ht="15" x14ac:dyDescent="0.2">
      <c r="B31" s="18">
        <f t="shared" si="3"/>
        <v>23</v>
      </c>
      <c r="C31" s="82">
        <v>2</v>
      </c>
      <c r="D31" s="495" t="s">
        <v>203</v>
      </c>
      <c r="E31" s="496"/>
      <c r="F31" s="496"/>
      <c r="G31" s="496"/>
      <c r="H31" s="496"/>
      <c r="I31" s="83">
        <f>I33+I32</f>
        <v>246000</v>
      </c>
      <c r="J31" s="83">
        <f>J33+J32</f>
        <v>237801</v>
      </c>
      <c r="K31" s="361">
        <f t="shared" si="5"/>
        <v>96.667073170731712</v>
      </c>
      <c r="L31" s="83">
        <f>L38</f>
        <v>158000</v>
      </c>
      <c r="M31" s="83">
        <f>M38</f>
        <v>42426</v>
      </c>
      <c r="N31" s="361">
        <f t="shared" si="0"/>
        <v>26.851898734177215</v>
      </c>
      <c r="O31" s="99">
        <f t="shared" si="1"/>
        <v>404000</v>
      </c>
      <c r="P31" s="99">
        <f t="shared" si="2"/>
        <v>280227</v>
      </c>
      <c r="Q31" s="361">
        <f t="shared" si="4"/>
        <v>69.363118811881179</v>
      </c>
    </row>
    <row r="32" spans="2:17" x14ac:dyDescent="0.2">
      <c r="B32" s="18">
        <f t="shared" si="3"/>
        <v>24</v>
      </c>
      <c r="C32" s="3"/>
      <c r="D32" s="3"/>
      <c r="E32" s="3"/>
      <c r="F32" s="90" t="s">
        <v>202</v>
      </c>
      <c r="G32" s="2">
        <v>620</v>
      </c>
      <c r="H32" s="3" t="s">
        <v>124</v>
      </c>
      <c r="I32" s="4">
        <v>1000</v>
      </c>
      <c r="J32" s="4">
        <v>370</v>
      </c>
      <c r="K32" s="361">
        <f t="shared" si="5"/>
        <v>37</v>
      </c>
      <c r="L32" s="4"/>
      <c r="M32" s="4"/>
      <c r="N32" s="361"/>
      <c r="O32" s="92">
        <f t="shared" si="1"/>
        <v>1000</v>
      </c>
      <c r="P32" s="92">
        <f t="shared" si="2"/>
        <v>370</v>
      </c>
      <c r="Q32" s="361">
        <f t="shared" si="4"/>
        <v>37</v>
      </c>
    </row>
    <row r="33" spans="2:17" x14ac:dyDescent="0.2">
      <c r="B33" s="18">
        <f t="shared" si="3"/>
        <v>25</v>
      </c>
      <c r="C33" s="3"/>
      <c r="D33" s="3"/>
      <c r="E33" s="3"/>
      <c r="F33" s="90" t="s">
        <v>202</v>
      </c>
      <c r="G33" s="2">
        <v>630</v>
      </c>
      <c r="H33" s="3" t="s">
        <v>121</v>
      </c>
      <c r="I33" s="4">
        <f>SUM(I34:I37)</f>
        <v>245000</v>
      </c>
      <c r="J33" s="4">
        <f>SUM(J34:J37)</f>
        <v>237431</v>
      </c>
      <c r="K33" s="361">
        <f t="shared" si="5"/>
        <v>96.910612244897962</v>
      </c>
      <c r="L33" s="4"/>
      <c r="M33" s="4"/>
      <c r="N33" s="361"/>
      <c r="O33" s="92">
        <f t="shared" si="1"/>
        <v>245000</v>
      </c>
      <c r="P33" s="92">
        <f t="shared" si="2"/>
        <v>237431</v>
      </c>
      <c r="Q33" s="361">
        <f t="shared" si="4"/>
        <v>96.910612244897962</v>
      </c>
    </row>
    <row r="34" spans="2:17" x14ac:dyDescent="0.2">
      <c r="B34" s="18">
        <f t="shared" si="3"/>
        <v>26</v>
      </c>
      <c r="C34" s="6"/>
      <c r="D34" s="6"/>
      <c r="E34" s="6"/>
      <c r="F34" s="93"/>
      <c r="G34" s="5">
        <v>631</v>
      </c>
      <c r="H34" s="6" t="s">
        <v>127</v>
      </c>
      <c r="I34" s="7">
        <v>1000</v>
      </c>
      <c r="J34" s="7">
        <v>530</v>
      </c>
      <c r="K34" s="361">
        <f t="shared" si="5"/>
        <v>53</v>
      </c>
      <c r="L34" s="7"/>
      <c r="M34" s="7"/>
      <c r="N34" s="361"/>
      <c r="O34" s="95">
        <f t="shared" si="1"/>
        <v>1000</v>
      </c>
      <c r="P34" s="95">
        <f t="shared" si="2"/>
        <v>530</v>
      </c>
      <c r="Q34" s="361">
        <f t="shared" si="4"/>
        <v>53</v>
      </c>
    </row>
    <row r="35" spans="2:17" x14ac:dyDescent="0.2">
      <c r="B35" s="18">
        <f t="shared" si="3"/>
        <v>27</v>
      </c>
      <c r="C35" s="6"/>
      <c r="D35" s="6"/>
      <c r="E35" s="6"/>
      <c r="F35" s="93"/>
      <c r="G35" s="5">
        <v>633</v>
      </c>
      <c r="H35" s="6" t="s">
        <v>125</v>
      </c>
      <c r="I35" s="7">
        <f>11000-6000</f>
        <v>5000</v>
      </c>
      <c r="J35" s="7">
        <v>4980</v>
      </c>
      <c r="K35" s="361">
        <f t="shared" si="5"/>
        <v>99.6</v>
      </c>
      <c r="L35" s="7"/>
      <c r="M35" s="7"/>
      <c r="N35" s="361"/>
      <c r="O35" s="95">
        <f t="shared" si="1"/>
        <v>5000</v>
      </c>
      <c r="P35" s="95">
        <f t="shared" si="2"/>
        <v>4980</v>
      </c>
      <c r="Q35" s="361">
        <f t="shared" si="4"/>
        <v>99.6</v>
      </c>
    </row>
    <row r="36" spans="2:17" x14ac:dyDescent="0.2">
      <c r="B36" s="18">
        <f t="shared" si="3"/>
        <v>28</v>
      </c>
      <c r="C36" s="6"/>
      <c r="D36" s="6"/>
      <c r="E36" s="6"/>
      <c r="F36" s="93"/>
      <c r="G36" s="5">
        <v>635</v>
      </c>
      <c r="H36" s="6" t="s">
        <v>133</v>
      </c>
      <c r="I36" s="7">
        <v>17000</v>
      </c>
      <c r="J36" s="7">
        <v>14399</v>
      </c>
      <c r="K36" s="361">
        <f t="shared" si="5"/>
        <v>84.7</v>
      </c>
      <c r="L36" s="7"/>
      <c r="M36" s="7"/>
      <c r="N36" s="361"/>
      <c r="O36" s="95">
        <f t="shared" si="1"/>
        <v>17000</v>
      </c>
      <c r="P36" s="95">
        <f t="shared" si="2"/>
        <v>14399</v>
      </c>
      <c r="Q36" s="361">
        <f t="shared" si="4"/>
        <v>84.7</v>
      </c>
    </row>
    <row r="37" spans="2:17" x14ac:dyDescent="0.2">
      <c r="B37" s="18">
        <f t="shared" si="3"/>
        <v>29</v>
      </c>
      <c r="C37" s="6"/>
      <c r="D37" s="6"/>
      <c r="E37" s="6"/>
      <c r="F37" s="93"/>
      <c r="G37" s="5">
        <v>637</v>
      </c>
      <c r="H37" s="6" t="s">
        <v>122</v>
      </c>
      <c r="I37" s="7">
        <f>391500-120500-1000-17000-31000</f>
        <v>222000</v>
      </c>
      <c r="J37" s="7">
        <v>217522</v>
      </c>
      <c r="K37" s="361">
        <f t="shared" si="5"/>
        <v>97.982882882882876</v>
      </c>
      <c r="L37" s="7"/>
      <c r="M37" s="7"/>
      <c r="N37" s="361"/>
      <c r="O37" s="95">
        <f t="shared" si="1"/>
        <v>222000</v>
      </c>
      <c r="P37" s="95">
        <f t="shared" si="2"/>
        <v>217522</v>
      </c>
      <c r="Q37" s="361">
        <f t="shared" si="4"/>
        <v>97.982882882882876</v>
      </c>
    </row>
    <row r="38" spans="2:17" x14ac:dyDescent="0.2">
      <c r="B38" s="18">
        <f t="shared" si="3"/>
        <v>30</v>
      </c>
      <c r="C38" s="3"/>
      <c r="D38" s="3"/>
      <c r="E38" s="3"/>
      <c r="F38" s="90" t="s">
        <v>202</v>
      </c>
      <c r="G38" s="2">
        <v>710</v>
      </c>
      <c r="H38" s="3" t="s">
        <v>175</v>
      </c>
      <c r="I38" s="4"/>
      <c r="J38" s="4"/>
      <c r="K38" s="361"/>
      <c r="L38" s="4">
        <f>L39+L42</f>
        <v>158000</v>
      </c>
      <c r="M38" s="4">
        <f>M39+M42</f>
        <v>42426</v>
      </c>
      <c r="N38" s="361">
        <f t="shared" si="0"/>
        <v>26.851898734177215</v>
      </c>
      <c r="O38" s="92">
        <f t="shared" si="1"/>
        <v>158000</v>
      </c>
      <c r="P38" s="92">
        <f t="shared" si="2"/>
        <v>42426</v>
      </c>
      <c r="Q38" s="361">
        <f t="shared" si="4"/>
        <v>26.851898734177215</v>
      </c>
    </row>
    <row r="39" spans="2:17" x14ac:dyDescent="0.2">
      <c r="B39" s="18">
        <f t="shared" si="3"/>
        <v>31</v>
      </c>
      <c r="C39" s="6"/>
      <c r="D39" s="6"/>
      <c r="E39" s="6"/>
      <c r="F39" s="93"/>
      <c r="G39" s="5">
        <v>711</v>
      </c>
      <c r="H39" s="6" t="s">
        <v>209</v>
      </c>
      <c r="I39" s="7"/>
      <c r="J39" s="7"/>
      <c r="K39" s="361"/>
      <c r="L39" s="7">
        <f>SUM(L40:L41)</f>
        <v>52000</v>
      </c>
      <c r="M39" s="7">
        <f>SUM(M40:M41)</f>
        <v>29186</v>
      </c>
      <c r="N39" s="361">
        <f t="shared" si="0"/>
        <v>56.126923076923077</v>
      </c>
      <c r="O39" s="95">
        <f t="shared" si="1"/>
        <v>52000</v>
      </c>
      <c r="P39" s="95">
        <f t="shared" si="2"/>
        <v>29186</v>
      </c>
      <c r="Q39" s="361">
        <f t="shared" si="4"/>
        <v>56.126923076923077</v>
      </c>
    </row>
    <row r="40" spans="2:17" s="22" customFormat="1" ht="24" x14ac:dyDescent="0.2">
      <c r="B40" s="18">
        <f t="shared" si="3"/>
        <v>32</v>
      </c>
      <c r="C40" s="100"/>
      <c r="D40" s="100"/>
      <c r="E40" s="100"/>
      <c r="F40" s="101"/>
      <c r="G40" s="101"/>
      <c r="H40" s="102" t="s">
        <v>333</v>
      </c>
      <c r="I40" s="103"/>
      <c r="J40" s="103"/>
      <c r="K40" s="361"/>
      <c r="L40" s="103">
        <f>50000-5000-20000</f>
        <v>25000</v>
      </c>
      <c r="M40" s="103">
        <f>29186-M41</f>
        <v>2450</v>
      </c>
      <c r="N40" s="361">
        <f t="shared" si="0"/>
        <v>9.8000000000000007</v>
      </c>
      <c r="O40" s="105">
        <f t="shared" si="1"/>
        <v>25000</v>
      </c>
      <c r="P40" s="105">
        <f t="shared" si="2"/>
        <v>2450</v>
      </c>
      <c r="Q40" s="361">
        <f t="shared" si="4"/>
        <v>9.8000000000000007</v>
      </c>
    </row>
    <row r="41" spans="2:17" s="22" customFormat="1" x14ac:dyDescent="0.2">
      <c r="B41" s="18">
        <f t="shared" si="3"/>
        <v>33</v>
      </c>
      <c r="C41" s="100"/>
      <c r="D41" s="100"/>
      <c r="E41" s="100"/>
      <c r="F41" s="101"/>
      <c r="G41" s="101"/>
      <c r="H41" s="102" t="s">
        <v>471</v>
      </c>
      <c r="I41" s="103"/>
      <c r="J41" s="103"/>
      <c r="K41" s="361"/>
      <c r="L41" s="103">
        <f>84000-22000-11000-24000</f>
        <v>27000</v>
      </c>
      <c r="M41" s="103">
        <v>26736</v>
      </c>
      <c r="N41" s="361">
        <f t="shared" si="0"/>
        <v>99.022222222222226</v>
      </c>
      <c r="O41" s="105">
        <f t="shared" ref="O41:O72" si="6">I41+L41</f>
        <v>27000</v>
      </c>
      <c r="P41" s="105">
        <f t="shared" ref="P41:P72" si="7">J41+M41</f>
        <v>26736</v>
      </c>
      <c r="Q41" s="361">
        <f t="shared" si="4"/>
        <v>99.022222222222226</v>
      </c>
    </row>
    <row r="42" spans="2:17" x14ac:dyDescent="0.2">
      <c r="B42" s="18">
        <f t="shared" si="3"/>
        <v>34</v>
      </c>
      <c r="C42" s="6"/>
      <c r="D42" s="6"/>
      <c r="E42" s="6"/>
      <c r="F42" s="93"/>
      <c r="G42" s="5">
        <v>716</v>
      </c>
      <c r="H42" s="6" t="s">
        <v>215</v>
      </c>
      <c r="I42" s="7"/>
      <c r="J42" s="7"/>
      <c r="K42" s="361"/>
      <c r="L42" s="7">
        <f>SUM(L43:L45)</f>
        <v>106000</v>
      </c>
      <c r="M42" s="7">
        <f>SUM(M43:M45)</f>
        <v>13240</v>
      </c>
      <c r="N42" s="361">
        <f t="shared" si="0"/>
        <v>12.490566037735849</v>
      </c>
      <c r="O42" s="95">
        <f t="shared" si="6"/>
        <v>106000</v>
      </c>
      <c r="P42" s="95">
        <f t="shared" si="7"/>
        <v>13240</v>
      </c>
      <c r="Q42" s="361">
        <f t="shared" si="4"/>
        <v>12.490566037735849</v>
      </c>
    </row>
    <row r="43" spans="2:17" s="22" customFormat="1" ht="33.75" customHeight="1" x14ac:dyDescent="0.2">
      <c r="B43" s="18">
        <f t="shared" si="3"/>
        <v>35</v>
      </c>
      <c r="C43" s="100"/>
      <c r="D43" s="100"/>
      <c r="E43" s="100"/>
      <c r="F43" s="101"/>
      <c r="G43" s="101"/>
      <c r="H43" s="102" t="s">
        <v>519</v>
      </c>
      <c r="I43" s="103"/>
      <c r="J43" s="103"/>
      <c r="K43" s="361"/>
      <c r="L43" s="103">
        <v>5000</v>
      </c>
      <c r="M43" s="103">
        <v>4000</v>
      </c>
      <c r="N43" s="361">
        <f t="shared" si="0"/>
        <v>80</v>
      </c>
      <c r="O43" s="215">
        <f t="shared" si="6"/>
        <v>5000</v>
      </c>
      <c r="P43" s="215">
        <f t="shared" si="7"/>
        <v>4000</v>
      </c>
      <c r="Q43" s="361">
        <f t="shared" si="4"/>
        <v>80</v>
      </c>
    </row>
    <row r="44" spans="2:17" s="22" customFormat="1" ht="16.5" customHeight="1" x14ac:dyDescent="0.2">
      <c r="B44" s="18">
        <f t="shared" si="3"/>
        <v>36</v>
      </c>
      <c r="C44" s="100"/>
      <c r="D44" s="100"/>
      <c r="E44" s="100"/>
      <c r="F44" s="101"/>
      <c r="G44" s="101"/>
      <c r="H44" s="102" t="s">
        <v>601</v>
      </c>
      <c r="I44" s="103"/>
      <c r="J44" s="103"/>
      <c r="K44" s="361"/>
      <c r="L44" s="103">
        <v>7000</v>
      </c>
      <c r="M44" s="103">
        <v>0</v>
      </c>
      <c r="N44" s="361">
        <f t="shared" si="0"/>
        <v>0</v>
      </c>
      <c r="O44" s="95">
        <f t="shared" si="6"/>
        <v>7000</v>
      </c>
      <c r="P44" s="95">
        <f t="shared" si="7"/>
        <v>0</v>
      </c>
      <c r="Q44" s="361">
        <f t="shared" si="4"/>
        <v>0</v>
      </c>
    </row>
    <row r="45" spans="2:17" ht="12" customHeight="1" x14ac:dyDescent="0.2">
      <c r="B45" s="18">
        <f t="shared" si="3"/>
        <v>37</v>
      </c>
      <c r="C45" s="67"/>
      <c r="D45" s="67"/>
      <c r="E45" s="67"/>
      <c r="F45" s="106"/>
      <c r="G45" s="106"/>
      <c r="H45" s="9" t="s">
        <v>302</v>
      </c>
      <c r="I45" s="10"/>
      <c r="J45" s="10"/>
      <c r="K45" s="361"/>
      <c r="L45" s="10">
        <f>50000+24000+20000</f>
        <v>94000</v>
      </c>
      <c r="M45" s="10">
        <f>13240-M43</f>
        <v>9240</v>
      </c>
      <c r="N45" s="361">
        <f t="shared" si="0"/>
        <v>9.8297872340425521</v>
      </c>
      <c r="O45" s="108">
        <f t="shared" si="6"/>
        <v>94000</v>
      </c>
      <c r="P45" s="108">
        <f t="shared" si="7"/>
        <v>9240</v>
      </c>
      <c r="Q45" s="361">
        <f t="shared" si="4"/>
        <v>9.8297872340425521</v>
      </c>
    </row>
    <row r="46" spans="2:17" ht="15" x14ac:dyDescent="0.2">
      <c r="B46" s="18">
        <f t="shared" si="3"/>
        <v>38</v>
      </c>
      <c r="C46" s="82">
        <v>3</v>
      </c>
      <c r="D46" s="495" t="s">
        <v>136</v>
      </c>
      <c r="E46" s="496"/>
      <c r="F46" s="496"/>
      <c r="G46" s="496"/>
      <c r="H46" s="496"/>
      <c r="I46" s="83">
        <f>I48+I51+I47</f>
        <v>334692</v>
      </c>
      <c r="J46" s="83">
        <f>J48+J51+J47</f>
        <v>94342</v>
      </c>
      <c r="K46" s="361">
        <f t="shared" si="5"/>
        <v>28.187706906648501</v>
      </c>
      <c r="L46" s="83">
        <f>L52</f>
        <v>212778</v>
      </c>
      <c r="M46" s="83">
        <f>M52</f>
        <v>12684</v>
      </c>
      <c r="N46" s="361">
        <f t="shared" si="0"/>
        <v>5.9611425993288778</v>
      </c>
      <c r="O46" s="99">
        <f t="shared" si="6"/>
        <v>547470</v>
      </c>
      <c r="P46" s="99">
        <f t="shared" si="7"/>
        <v>107026</v>
      </c>
      <c r="Q46" s="361">
        <f t="shared" si="4"/>
        <v>19.54919904286993</v>
      </c>
    </row>
    <row r="47" spans="2:17" x14ac:dyDescent="0.2">
      <c r="B47" s="18">
        <f t="shared" si="3"/>
        <v>39</v>
      </c>
      <c r="C47" s="3"/>
      <c r="D47" s="3"/>
      <c r="E47" s="3"/>
      <c r="F47" s="90" t="s">
        <v>73</v>
      </c>
      <c r="G47" s="2">
        <v>620</v>
      </c>
      <c r="H47" s="3" t="s">
        <v>124</v>
      </c>
      <c r="I47" s="4">
        <v>6500</v>
      </c>
      <c r="J47" s="4">
        <v>6426</v>
      </c>
      <c r="K47" s="361">
        <f t="shared" si="5"/>
        <v>98.861538461538458</v>
      </c>
      <c r="L47" s="4"/>
      <c r="M47" s="4"/>
      <c r="N47" s="361"/>
      <c r="O47" s="92">
        <f t="shared" si="6"/>
        <v>6500</v>
      </c>
      <c r="P47" s="92">
        <f t="shared" si="7"/>
        <v>6426</v>
      </c>
      <c r="Q47" s="361">
        <f t="shared" si="4"/>
        <v>98.861538461538458</v>
      </c>
    </row>
    <row r="48" spans="2:17" x14ac:dyDescent="0.2">
      <c r="B48" s="18">
        <f t="shared" si="3"/>
        <v>40</v>
      </c>
      <c r="C48" s="3"/>
      <c r="D48" s="3"/>
      <c r="E48" s="3"/>
      <c r="F48" s="90" t="s">
        <v>73</v>
      </c>
      <c r="G48" s="2">
        <v>630</v>
      </c>
      <c r="H48" s="3" t="s">
        <v>121</v>
      </c>
      <c r="I48" s="4">
        <f>SUM(I49:I50)</f>
        <v>324000</v>
      </c>
      <c r="J48" s="4">
        <f>SUM(J49:J50)</f>
        <v>86161</v>
      </c>
      <c r="K48" s="361">
        <f t="shared" si="5"/>
        <v>26.592901234567901</v>
      </c>
      <c r="L48" s="4"/>
      <c r="M48" s="4"/>
      <c r="N48" s="361"/>
      <c r="O48" s="92">
        <f t="shared" si="6"/>
        <v>324000</v>
      </c>
      <c r="P48" s="92">
        <f t="shared" si="7"/>
        <v>86161</v>
      </c>
      <c r="Q48" s="361">
        <f t="shared" si="4"/>
        <v>26.592901234567901</v>
      </c>
    </row>
    <row r="49" spans="2:17" x14ac:dyDescent="0.2">
      <c r="B49" s="18">
        <f t="shared" si="3"/>
        <v>41</v>
      </c>
      <c r="C49" s="6"/>
      <c r="D49" s="6"/>
      <c r="E49" s="6"/>
      <c r="F49" s="93"/>
      <c r="G49" s="5">
        <v>637</v>
      </c>
      <c r="H49" s="6" t="s">
        <v>122</v>
      </c>
      <c r="I49" s="7">
        <f>86000-4300-6500+55000</f>
        <v>130200</v>
      </c>
      <c r="J49" s="7">
        <v>81893</v>
      </c>
      <c r="K49" s="361">
        <f t="shared" si="5"/>
        <v>62.897849462365599</v>
      </c>
      <c r="L49" s="7"/>
      <c r="M49" s="7"/>
      <c r="N49" s="361"/>
      <c r="O49" s="95">
        <f t="shared" si="6"/>
        <v>130200</v>
      </c>
      <c r="P49" s="95">
        <f t="shared" si="7"/>
        <v>81893</v>
      </c>
      <c r="Q49" s="361">
        <f t="shared" si="4"/>
        <v>62.897849462365599</v>
      </c>
    </row>
    <row r="50" spans="2:17" ht="12" customHeight="1" x14ac:dyDescent="0.2">
      <c r="B50" s="18">
        <f t="shared" si="3"/>
        <v>42</v>
      </c>
      <c r="C50" s="6"/>
      <c r="D50" s="6"/>
      <c r="E50" s="6"/>
      <c r="F50" s="93"/>
      <c r="G50" s="5">
        <v>630</v>
      </c>
      <c r="H50" s="6" t="s">
        <v>462</v>
      </c>
      <c r="I50" s="7">
        <v>193800</v>
      </c>
      <c r="J50" s="7">
        <v>4268</v>
      </c>
      <c r="K50" s="361">
        <f t="shared" si="5"/>
        <v>2.2022703818369451</v>
      </c>
      <c r="L50" s="7"/>
      <c r="M50" s="7"/>
      <c r="N50" s="361"/>
      <c r="O50" s="95">
        <f t="shared" si="6"/>
        <v>193800</v>
      </c>
      <c r="P50" s="95">
        <f t="shared" si="7"/>
        <v>4268</v>
      </c>
      <c r="Q50" s="361">
        <f t="shared" si="4"/>
        <v>2.2022703818369451</v>
      </c>
    </row>
    <row r="51" spans="2:17" ht="12" customHeight="1" x14ac:dyDescent="0.2">
      <c r="B51" s="18">
        <f t="shared" si="3"/>
        <v>43</v>
      </c>
      <c r="C51" s="6"/>
      <c r="D51" s="6"/>
      <c r="E51" s="6"/>
      <c r="F51" s="93"/>
      <c r="G51" s="5">
        <v>600</v>
      </c>
      <c r="H51" s="6" t="s">
        <v>590</v>
      </c>
      <c r="I51" s="7">
        <v>4192</v>
      </c>
      <c r="J51" s="7">
        <v>1755</v>
      </c>
      <c r="K51" s="361">
        <f t="shared" si="5"/>
        <v>41.86545801526718</v>
      </c>
      <c r="L51" s="7"/>
      <c r="M51" s="7"/>
      <c r="N51" s="361"/>
      <c r="O51" s="95">
        <f t="shared" si="6"/>
        <v>4192</v>
      </c>
      <c r="P51" s="95">
        <f t="shared" si="7"/>
        <v>1755</v>
      </c>
      <c r="Q51" s="361">
        <f t="shared" si="4"/>
        <v>41.86545801526718</v>
      </c>
    </row>
    <row r="52" spans="2:17" x14ac:dyDescent="0.2">
      <c r="B52" s="18">
        <f t="shared" si="3"/>
        <v>44</v>
      </c>
      <c r="C52" s="3"/>
      <c r="D52" s="3"/>
      <c r="E52" s="3"/>
      <c r="F52" s="90" t="s">
        <v>73</v>
      </c>
      <c r="G52" s="2">
        <v>710</v>
      </c>
      <c r="H52" s="3" t="s">
        <v>175</v>
      </c>
      <c r="I52" s="4"/>
      <c r="J52" s="4"/>
      <c r="K52" s="361"/>
      <c r="L52" s="4">
        <f>L55+L53</f>
        <v>212778</v>
      </c>
      <c r="M52" s="4">
        <f>M55+M53</f>
        <v>12684</v>
      </c>
      <c r="N52" s="361">
        <f t="shared" si="0"/>
        <v>5.9611425993288778</v>
      </c>
      <c r="O52" s="92">
        <f t="shared" si="6"/>
        <v>212778</v>
      </c>
      <c r="P52" s="92">
        <f t="shared" si="7"/>
        <v>12684</v>
      </c>
      <c r="Q52" s="361">
        <f t="shared" si="4"/>
        <v>5.9611425993288778</v>
      </c>
    </row>
    <row r="53" spans="2:17" x14ac:dyDescent="0.2">
      <c r="B53" s="18">
        <f t="shared" si="3"/>
        <v>45</v>
      </c>
      <c r="C53" s="6"/>
      <c r="D53" s="6"/>
      <c r="E53" s="6"/>
      <c r="F53" s="93"/>
      <c r="G53" s="5">
        <v>716</v>
      </c>
      <c r="H53" s="6" t="s">
        <v>215</v>
      </c>
      <c r="I53" s="7"/>
      <c r="J53" s="7"/>
      <c r="K53" s="361"/>
      <c r="L53" s="7">
        <f>SUM(L54:L54)</f>
        <v>166396</v>
      </c>
      <c r="M53" s="7">
        <f>SUM(M54:M54)</f>
        <v>12684</v>
      </c>
      <c r="N53" s="361">
        <f t="shared" si="0"/>
        <v>7.6227793937354269</v>
      </c>
      <c r="O53" s="95">
        <f t="shared" si="6"/>
        <v>166396</v>
      </c>
      <c r="P53" s="95">
        <f t="shared" si="7"/>
        <v>12684</v>
      </c>
      <c r="Q53" s="361">
        <f t="shared" si="4"/>
        <v>7.6227793937354269</v>
      </c>
    </row>
    <row r="54" spans="2:17" x14ac:dyDescent="0.2">
      <c r="B54" s="18">
        <f t="shared" si="3"/>
        <v>46</v>
      </c>
      <c r="C54" s="67"/>
      <c r="D54" s="67"/>
      <c r="E54" s="67"/>
      <c r="F54" s="106"/>
      <c r="G54" s="106"/>
      <c r="H54" s="9" t="s">
        <v>393</v>
      </c>
      <c r="I54" s="10"/>
      <c r="J54" s="10"/>
      <c r="K54" s="361"/>
      <c r="L54" s="10">
        <f>300000+129500-3504-41000-21000-5600-118000-24000-49000-1000</f>
        <v>166396</v>
      </c>
      <c r="M54" s="10">
        <v>12684</v>
      </c>
      <c r="N54" s="361">
        <f t="shared" si="0"/>
        <v>7.6227793937354269</v>
      </c>
      <c r="O54" s="108">
        <f t="shared" si="6"/>
        <v>166396</v>
      </c>
      <c r="P54" s="108">
        <f t="shared" si="7"/>
        <v>12684</v>
      </c>
      <c r="Q54" s="361">
        <f t="shared" si="4"/>
        <v>7.6227793937354269</v>
      </c>
    </row>
    <row r="55" spans="2:17" x14ac:dyDescent="0.2">
      <c r="B55" s="18">
        <f t="shared" si="3"/>
        <v>47</v>
      </c>
      <c r="C55" s="6"/>
      <c r="D55" s="6"/>
      <c r="E55" s="6"/>
      <c r="F55" s="93"/>
      <c r="G55" s="5">
        <v>717</v>
      </c>
      <c r="H55" s="6" t="s">
        <v>182</v>
      </c>
      <c r="I55" s="7"/>
      <c r="J55" s="7"/>
      <c r="K55" s="361"/>
      <c r="L55" s="7">
        <f>SUM(L56:L56)</f>
        <v>46382</v>
      </c>
      <c r="M55" s="7">
        <f>SUM(M56:M56)</f>
        <v>0</v>
      </c>
      <c r="N55" s="361">
        <f t="shared" si="0"/>
        <v>0</v>
      </c>
      <c r="O55" s="95">
        <f t="shared" si="6"/>
        <v>46382</v>
      </c>
      <c r="P55" s="95">
        <f t="shared" si="7"/>
        <v>0</v>
      </c>
      <c r="Q55" s="361">
        <f t="shared" si="4"/>
        <v>0</v>
      </c>
    </row>
    <row r="56" spans="2:17" x14ac:dyDescent="0.2">
      <c r="B56" s="18">
        <f t="shared" si="3"/>
        <v>48</v>
      </c>
      <c r="C56" s="109"/>
      <c r="D56" s="109"/>
      <c r="E56" s="109"/>
      <c r="F56" s="110"/>
      <c r="G56" s="110"/>
      <c r="H56" s="111" t="s">
        <v>78</v>
      </c>
      <c r="I56" s="112"/>
      <c r="J56" s="112"/>
      <c r="K56" s="361"/>
      <c r="L56" s="112">
        <f>484200+15800-6710-25000-29778-5900-11170-55000-6000-8208-53700-226770-25382</f>
        <v>46382</v>
      </c>
      <c r="M56" s="112"/>
      <c r="N56" s="361">
        <f t="shared" si="0"/>
        <v>0</v>
      </c>
      <c r="O56" s="113">
        <f t="shared" si="6"/>
        <v>46382</v>
      </c>
      <c r="P56" s="113">
        <f t="shared" si="7"/>
        <v>0</v>
      </c>
      <c r="Q56" s="361">
        <f t="shared" si="4"/>
        <v>0</v>
      </c>
    </row>
    <row r="57" spans="2:17" ht="15" x14ac:dyDescent="0.2">
      <c r="B57" s="18">
        <f t="shared" si="3"/>
        <v>49</v>
      </c>
      <c r="C57" s="114">
        <v>4</v>
      </c>
      <c r="D57" s="540" t="s">
        <v>401</v>
      </c>
      <c r="E57" s="541"/>
      <c r="F57" s="541"/>
      <c r="G57" s="541"/>
      <c r="H57" s="542"/>
      <c r="I57" s="115">
        <v>0</v>
      </c>
      <c r="J57" s="115">
        <v>0</v>
      </c>
      <c r="K57" s="361"/>
      <c r="L57" s="115">
        <v>0</v>
      </c>
      <c r="M57" s="115">
        <v>0</v>
      </c>
      <c r="N57" s="361"/>
      <c r="O57" s="116">
        <f t="shared" si="6"/>
        <v>0</v>
      </c>
      <c r="P57" s="116">
        <f t="shared" si="7"/>
        <v>0</v>
      </c>
      <c r="Q57" s="361"/>
    </row>
    <row r="58" spans="2:17" ht="15" x14ac:dyDescent="0.2">
      <c r="B58" s="18">
        <f t="shared" si="3"/>
        <v>50</v>
      </c>
      <c r="C58" s="117">
        <v>5</v>
      </c>
      <c r="D58" s="543" t="s">
        <v>402</v>
      </c>
      <c r="E58" s="544"/>
      <c r="F58" s="544"/>
      <c r="G58" s="544"/>
      <c r="H58" s="545"/>
      <c r="I58" s="83">
        <v>0</v>
      </c>
      <c r="J58" s="83">
        <v>0</v>
      </c>
      <c r="K58" s="361"/>
      <c r="L58" s="83">
        <v>0</v>
      </c>
      <c r="M58" s="83">
        <v>0</v>
      </c>
      <c r="N58" s="361"/>
      <c r="O58" s="99">
        <f t="shared" si="6"/>
        <v>0</v>
      </c>
      <c r="P58" s="99">
        <f t="shared" si="7"/>
        <v>0</v>
      </c>
      <c r="Q58" s="361"/>
    </row>
    <row r="59" spans="2:17" ht="15" x14ac:dyDescent="0.2">
      <c r="B59" s="18">
        <f t="shared" si="3"/>
        <v>51</v>
      </c>
      <c r="C59" s="117">
        <v>6</v>
      </c>
      <c r="D59" s="543" t="s">
        <v>403</v>
      </c>
      <c r="E59" s="544"/>
      <c r="F59" s="544"/>
      <c r="G59" s="544"/>
      <c r="H59" s="545"/>
      <c r="I59" s="83">
        <v>0</v>
      </c>
      <c r="J59" s="83">
        <v>0</v>
      </c>
      <c r="K59" s="361"/>
      <c r="L59" s="83">
        <v>0</v>
      </c>
      <c r="M59" s="83">
        <v>0</v>
      </c>
      <c r="N59" s="361"/>
      <c r="O59" s="99">
        <f t="shared" si="6"/>
        <v>0</v>
      </c>
      <c r="P59" s="99">
        <f t="shared" si="7"/>
        <v>0</v>
      </c>
      <c r="Q59" s="361"/>
    </row>
    <row r="60" spans="2:17" ht="15" x14ac:dyDescent="0.2">
      <c r="B60" s="18">
        <f t="shared" si="3"/>
        <v>52</v>
      </c>
      <c r="C60" s="82">
        <v>7</v>
      </c>
      <c r="D60" s="538" t="s">
        <v>244</v>
      </c>
      <c r="E60" s="539"/>
      <c r="F60" s="539"/>
      <c r="G60" s="539"/>
      <c r="H60" s="539"/>
      <c r="I60" s="83">
        <f>I61+I62+I67+I66</f>
        <v>180785</v>
      </c>
      <c r="J60" s="83">
        <f>J61+J62+J67+J66</f>
        <v>163237</v>
      </c>
      <c r="K60" s="361">
        <f t="shared" si="5"/>
        <v>90.293442486931994</v>
      </c>
      <c r="L60" s="83">
        <v>0</v>
      </c>
      <c r="M60" s="83">
        <v>0</v>
      </c>
      <c r="N60" s="361"/>
      <c r="O60" s="99">
        <f t="shared" si="6"/>
        <v>180785</v>
      </c>
      <c r="P60" s="99">
        <f t="shared" si="7"/>
        <v>163237</v>
      </c>
      <c r="Q60" s="361">
        <f t="shared" si="4"/>
        <v>90.293442486931994</v>
      </c>
    </row>
    <row r="61" spans="2:17" x14ac:dyDescent="0.2">
      <c r="B61" s="18">
        <f t="shared" si="3"/>
        <v>53</v>
      </c>
      <c r="C61" s="3"/>
      <c r="D61" s="3"/>
      <c r="E61" s="3"/>
      <c r="F61" s="90" t="s">
        <v>73</v>
      </c>
      <c r="G61" s="2">
        <v>620</v>
      </c>
      <c r="H61" s="3" t="s">
        <v>124</v>
      </c>
      <c r="I61" s="4">
        <f>2000-50</f>
        <v>1950</v>
      </c>
      <c r="J61" s="4">
        <v>1186</v>
      </c>
      <c r="K61" s="361">
        <f t="shared" si="5"/>
        <v>60.820512820512818</v>
      </c>
      <c r="L61" s="4"/>
      <c r="M61" s="4"/>
      <c r="N61" s="361"/>
      <c r="O61" s="92">
        <f t="shared" si="6"/>
        <v>1950</v>
      </c>
      <c r="P61" s="92">
        <f t="shared" si="7"/>
        <v>1186</v>
      </c>
      <c r="Q61" s="361">
        <f t="shared" si="4"/>
        <v>60.820512820512818</v>
      </c>
    </row>
    <row r="62" spans="2:17" x14ac:dyDescent="0.2">
      <c r="B62" s="18">
        <f t="shared" si="3"/>
        <v>54</v>
      </c>
      <c r="C62" s="3"/>
      <c r="D62" s="3"/>
      <c r="E62" s="3"/>
      <c r="F62" s="90" t="s">
        <v>73</v>
      </c>
      <c r="G62" s="2">
        <v>630</v>
      </c>
      <c r="H62" s="3" t="s">
        <v>121</v>
      </c>
      <c r="I62" s="4">
        <f>I65+I64+I63</f>
        <v>158785</v>
      </c>
      <c r="J62" s="4">
        <f>J65+J64+J63</f>
        <v>151009</v>
      </c>
      <c r="K62" s="361">
        <f t="shared" si="5"/>
        <v>95.102811978461446</v>
      </c>
      <c r="L62" s="4"/>
      <c r="M62" s="4"/>
      <c r="N62" s="361"/>
      <c r="O62" s="92">
        <f t="shared" si="6"/>
        <v>158785</v>
      </c>
      <c r="P62" s="92">
        <f t="shared" si="7"/>
        <v>151009</v>
      </c>
      <c r="Q62" s="361">
        <f t="shared" si="4"/>
        <v>95.102811978461446</v>
      </c>
    </row>
    <row r="63" spans="2:17" x14ac:dyDescent="0.2">
      <c r="B63" s="18">
        <f t="shared" si="3"/>
        <v>55</v>
      </c>
      <c r="C63" s="6"/>
      <c r="D63" s="6"/>
      <c r="E63" s="6"/>
      <c r="F63" s="93"/>
      <c r="G63" s="5">
        <v>632</v>
      </c>
      <c r="H63" s="6" t="s">
        <v>134</v>
      </c>
      <c r="I63" s="7">
        <f>150000-9016+2500+2000+1</f>
        <v>145485</v>
      </c>
      <c r="J63" s="7">
        <v>145485</v>
      </c>
      <c r="K63" s="361">
        <f t="shared" si="5"/>
        <v>100</v>
      </c>
      <c r="L63" s="7"/>
      <c r="M63" s="7"/>
      <c r="N63" s="361"/>
      <c r="O63" s="95">
        <f t="shared" si="6"/>
        <v>145485</v>
      </c>
      <c r="P63" s="95">
        <f t="shared" si="7"/>
        <v>145485</v>
      </c>
      <c r="Q63" s="361">
        <f t="shared" si="4"/>
        <v>100</v>
      </c>
    </row>
    <row r="64" spans="2:17" x14ac:dyDescent="0.2">
      <c r="B64" s="18">
        <f t="shared" si="3"/>
        <v>56</v>
      </c>
      <c r="C64" s="6"/>
      <c r="D64" s="6"/>
      <c r="E64" s="6"/>
      <c r="F64" s="93"/>
      <c r="G64" s="5">
        <v>633</v>
      </c>
      <c r="H64" s="6" t="s">
        <v>125</v>
      </c>
      <c r="I64" s="7">
        <v>5000</v>
      </c>
      <c r="J64" s="7">
        <v>1528</v>
      </c>
      <c r="K64" s="361">
        <f t="shared" si="5"/>
        <v>30.56</v>
      </c>
      <c r="L64" s="7"/>
      <c r="M64" s="7"/>
      <c r="N64" s="361"/>
      <c r="O64" s="95">
        <f t="shared" si="6"/>
        <v>5000</v>
      </c>
      <c r="P64" s="95">
        <f t="shared" si="7"/>
        <v>1528</v>
      </c>
      <c r="Q64" s="361">
        <f t="shared" si="4"/>
        <v>30.56</v>
      </c>
    </row>
    <row r="65" spans="2:17" x14ac:dyDescent="0.2">
      <c r="B65" s="18">
        <f t="shared" si="3"/>
        <v>57</v>
      </c>
      <c r="C65" s="6"/>
      <c r="D65" s="6"/>
      <c r="E65" s="6"/>
      <c r="F65" s="93"/>
      <c r="G65" s="5">
        <v>637</v>
      </c>
      <c r="H65" s="6" t="s">
        <v>122</v>
      </c>
      <c r="I65" s="7">
        <v>8300</v>
      </c>
      <c r="J65" s="7">
        <v>3996</v>
      </c>
      <c r="K65" s="361">
        <f t="shared" si="5"/>
        <v>48.144578313253014</v>
      </c>
      <c r="L65" s="7"/>
      <c r="M65" s="7"/>
      <c r="N65" s="361"/>
      <c r="O65" s="95">
        <f t="shared" si="6"/>
        <v>8300</v>
      </c>
      <c r="P65" s="95">
        <f t="shared" si="7"/>
        <v>3996</v>
      </c>
      <c r="Q65" s="361">
        <f t="shared" si="4"/>
        <v>48.144578313253014</v>
      </c>
    </row>
    <row r="66" spans="2:17" x14ac:dyDescent="0.2">
      <c r="B66" s="18">
        <f t="shared" si="3"/>
        <v>58</v>
      </c>
      <c r="C66" s="6"/>
      <c r="D66" s="6"/>
      <c r="E66" s="6"/>
      <c r="F66" s="90" t="s">
        <v>73</v>
      </c>
      <c r="G66" s="2">
        <v>640</v>
      </c>
      <c r="H66" s="3" t="s">
        <v>129</v>
      </c>
      <c r="I66" s="4">
        <v>50</v>
      </c>
      <c r="J66" s="4">
        <v>21</v>
      </c>
      <c r="K66" s="361">
        <f t="shared" si="5"/>
        <v>42</v>
      </c>
      <c r="L66" s="4"/>
      <c r="M66" s="4"/>
      <c r="N66" s="361"/>
      <c r="O66" s="92">
        <f t="shared" si="6"/>
        <v>50</v>
      </c>
      <c r="P66" s="92">
        <f t="shared" si="7"/>
        <v>21</v>
      </c>
      <c r="Q66" s="361">
        <f t="shared" si="4"/>
        <v>42</v>
      </c>
    </row>
    <row r="67" spans="2:17" x14ac:dyDescent="0.2">
      <c r="B67" s="18">
        <f t="shared" si="3"/>
        <v>59</v>
      </c>
      <c r="C67" s="3"/>
      <c r="D67" s="3"/>
      <c r="E67" s="3"/>
      <c r="F67" s="90" t="s">
        <v>243</v>
      </c>
      <c r="G67" s="2">
        <v>630</v>
      </c>
      <c r="H67" s="3" t="s">
        <v>121</v>
      </c>
      <c r="I67" s="4">
        <f>I68</f>
        <v>20000</v>
      </c>
      <c r="J67" s="4">
        <f>J68</f>
        <v>11021</v>
      </c>
      <c r="K67" s="361">
        <f t="shared" si="5"/>
        <v>55.105000000000004</v>
      </c>
      <c r="L67" s="4"/>
      <c r="M67" s="4"/>
      <c r="N67" s="361"/>
      <c r="O67" s="92">
        <f t="shared" si="6"/>
        <v>20000</v>
      </c>
      <c r="P67" s="92">
        <f t="shared" si="7"/>
        <v>11021</v>
      </c>
      <c r="Q67" s="361">
        <f t="shared" si="4"/>
        <v>55.105000000000004</v>
      </c>
    </row>
    <row r="68" spans="2:17" x14ac:dyDescent="0.2">
      <c r="B68" s="18">
        <f t="shared" si="3"/>
        <v>60</v>
      </c>
      <c r="C68" s="6"/>
      <c r="D68" s="6"/>
      <c r="E68" s="6"/>
      <c r="F68" s="93"/>
      <c r="G68" s="5">
        <v>637</v>
      </c>
      <c r="H68" s="6" t="s">
        <v>122</v>
      </c>
      <c r="I68" s="7">
        <v>20000</v>
      </c>
      <c r="J68" s="7">
        <v>11021</v>
      </c>
      <c r="K68" s="361">
        <f t="shared" si="5"/>
        <v>55.105000000000004</v>
      </c>
      <c r="L68" s="7"/>
      <c r="M68" s="7"/>
      <c r="N68" s="361"/>
      <c r="O68" s="95">
        <f t="shared" si="6"/>
        <v>20000</v>
      </c>
      <c r="P68" s="95">
        <f t="shared" si="7"/>
        <v>11021</v>
      </c>
      <c r="Q68" s="361">
        <f t="shared" si="4"/>
        <v>55.105000000000004</v>
      </c>
    </row>
    <row r="69" spans="2:17" ht="15" x14ac:dyDescent="0.2">
      <c r="B69" s="18">
        <f t="shared" si="3"/>
        <v>61</v>
      </c>
      <c r="C69" s="82">
        <v>8</v>
      </c>
      <c r="D69" s="495" t="s">
        <v>262</v>
      </c>
      <c r="E69" s="496"/>
      <c r="F69" s="496"/>
      <c r="G69" s="496"/>
      <c r="H69" s="496"/>
      <c r="I69" s="83">
        <f>I70</f>
        <v>16500</v>
      </c>
      <c r="J69" s="83">
        <f>J70</f>
        <v>16454</v>
      </c>
      <c r="K69" s="361">
        <f t="shared" si="5"/>
        <v>99.721212121212119</v>
      </c>
      <c r="L69" s="83">
        <v>0</v>
      </c>
      <c r="M69" s="83"/>
      <c r="N69" s="361"/>
      <c r="O69" s="99">
        <f t="shared" si="6"/>
        <v>16500</v>
      </c>
      <c r="P69" s="99">
        <f t="shared" si="7"/>
        <v>16454</v>
      </c>
      <c r="Q69" s="361">
        <f t="shared" si="4"/>
        <v>99.721212121212119</v>
      </c>
    </row>
    <row r="70" spans="2:17" x14ac:dyDescent="0.2">
      <c r="B70" s="18">
        <f t="shared" si="3"/>
        <v>62</v>
      </c>
      <c r="C70" s="3"/>
      <c r="D70" s="3"/>
      <c r="E70" s="3"/>
      <c r="F70" s="90" t="s">
        <v>73</v>
      </c>
      <c r="G70" s="2">
        <v>640</v>
      </c>
      <c r="H70" s="3" t="s">
        <v>129</v>
      </c>
      <c r="I70" s="4">
        <f>I71</f>
        <v>16500</v>
      </c>
      <c r="J70" s="4">
        <f>J71</f>
        <v>16454</v>
      </c>
      <c r="K70" s="361">
        <f t="shared" si="5"/>
        <v>99.721212121212119</v>
      </c>
      <c r="L70" s="4"/>
      <c r="M70" s="4"/>
      <c r="N70" s="361"/>
      <c r="O70" s="92">
        <f t="shared" si="6"/>
        <v>16500</v>
      </c>
      <c r="P70" s="92">
        <f t="shared" si="7"/>
        <v>16454</v>
      </c>
      <c r="Q70" s="361">
        <f t="shared" si="4"/>
        <v>99.721212121212119</v>
      </c>
    </row>
    <row r="71" spans="2:17" x14ac:dyDescent="0.2">
      <c r="B71" s="18">
        <f t="shared" si="3"/>
        <v>63</v>
      </c>
      <c r="C71" s="6"/>
      <c r="D71" s="6"/>
      <c r="E71" s="6"/>
      <c r="F71" s="93"/>
      <c r="G71" s="5">
        <v>642</v>
      </c>
      <c r="H71" s="6" t="s">
        <v>130</v>
      </c>
      <c r="I71" s="7">
        <f>9900+6600</f>
        <v>16500</v>
      </c>
      <c r="J71" s="7">
        <v>16454</v>
      </c>
      <c r="K71" s="361">
        <f t="shared" si="5"/>
        <v>99.721212121212119</v>
      </c>
      <c r="L71" s="7"/>
      <c r="M71" s="7"/>
      <c r="N71" s="361"/>
      <c r="O71" s="95">
        <f t="shared" si="6"/>
        <v>16500</v>
      </c>
      <c r="P71" s="95">
        <f t="shared" si="7"/>
        <v>16454</v>
      </c>
      <c r="Q71" s="361">
        <f t="shared" si="4"/>
        <v>99.721212121212119</v>
      </c>
    </row>
    <row r="72" spans="2:17" ht="15" x14ac:dyDescent="0.2">
      <c r="B72" s="18">
        <f t="shared" si="3"/>
        <v>64</v>
      </c>
      <c r="C72" s="118">
        <v>9</v>
      </c>
      <c r="D72" s="536" t="s">
        <v>178</v>
      </c>
      <c r="E72" s="537"/>
      <c r="F72" s="537"/>
      <c r="G72" s="537"/>
      <c r="H72" s="537"/>
      <c r="I72" s="119">
        <f>93432+55198</f>
        <v>148630</v>
      </c>
      <c r="J72" s="119">
        <v>148610</v>
      </c>
      <c r="K72" s="361">
        <f t="shared" si="5"/>
        <v>99.986543766399777</v>
      </c>
      <c r="L72" s="119">
        <v>0</v>
      </c>
      <c r="M72" s="119"/>
      <c r="N72" s="361"/>
      <c r="O72" s="120">
        <f t="shared" si="6"/>
        <v>148630</v>
      </c>
      <c r="P72" s="120">
        <f t="shared" si="7"/>
        <v>148610</v>
      </c>
      <c r="Q72" s="361">
        <f t="shared" si="4"/>
        <v>99.986543766399777</v>
      </c>
    </row>
    <row r="75" spans="2:17" ht="27.75" x14ac:dyDescent="0.4">
      <c r="B75" s="499" t="s">
        <v>15</v>
      </c>
      <c r="C75" s="500"/>
      <c r="D75" s="500"/>
      <c r="E75" s="500"/>
      <c r="F75" s="500"/>
      <c r="G75" s="500"/>
      <c r="H75" s="500"/>
      <c r="I75" s="500"/>
      <c r="J75" s="500"/>
      <c r="K75" s="500"/>
      <c r="L75" s="500"/>
      <c r="M75" s="500"/>
      <c r="N75" s="500"/>
      <c r="O75" s="500"/>
    </row>
    <row r="76" spans="2:17" ht="15" customHeight="1" x14ac:dyDescent="0.35">
      <c r="B76" s="509" t="s">
        <v>418</v>
      </c>
      <c r="C76" s="510"/>
      <c r="D76" s="510"/>
      <c r="E76" s="510"/>
      <c r="F76" s="510"/>
      <c r="G76" s="510"/>
      <c r="H76" s="510"/>
      <c r="I76" s="510"/>
      <c r="J76" s="510"/>
      <c r="K76" s="511"/>
      <c r="L76" s="510"/>
      <c r="M76" s="510"/>
      <c r="N76" s="511"/>
      <c r="O76" s="501" t="s">
        <v>741</v>
      </c>
      <c r="P76" s="512" t="s">
        <v>739</v>
      </c>
      <c r="Q76" s="514" t="s">
        <v>738</v>
      </c>
    </row>
    <row r="77" spans="2:17" ht="12.75" customHeight="1" x14ac:dyDescent="0.2">
      <c r="B77" s="503"/>
      <c r="C77" s="504" t="s">
        <v>114</v>
      </c>
      <c r="D77" s="504" t="s">
        <v>115</v>
      </c>
      <c r="E77" s="504"/>
      <c r="F77" s="504" t="s">
        <v>116</v>
      </c>
      <c r="G77" s="506" t="s">
        <v>117</v>
      </c>
      <c r="H77" s="507" t="s">
        <v>118</v>
      </c>
      <c r="I77" s="508" t="s">
        <v>742</v>
      </c>
      <c r="J77" s="508" t="s">
        <v>744</v>
      </c>
      <c r="K77" s="517" t="s">
        <v>738</v>
      </c>
      <c r="L77" s="505" t="s">
        <v>743</v>
      </c>
      <c r="M77" s="508" t="s">
        <v>745</v>
      </c>
      <c r="N77" s="520" t="s">
        <v>738</v>
      </c>
      <c r="O77" s="502"/>
      <c r="P77" s="513"/>
      <c r="Q77" s="515"/>
    </row>
    <row r="78" spans="2:17" ht="12.75" customHeight="1" x14ac:dyDescent="0.2">
      <c r="B78" s="503"/>
      <c r="C78" s="504"/>
      <c r="D78" s="504"/>
      <c r="E78" s="504"/>
      <c r="F78" s="504"/>
      <c r="G78" s="506"/>
      <c r="H78" s="507"/>
      <c r="I78" s="508"/>
      <c r="J78" s="508"/>
      <c r="K78" s="518"/>
      <c r="L78" s="505"/>
      <c r="M78" s="508"/>
      <c r="N78" s="521"/>
      <c r="O78" s="502"/>
      <c r="P78" s="513"/>
      <c r="Q78" s="515"/>
    </row>
    <row r="79" spans="2:17" ht="12.75" customHeight="1" x14ac:dyDescent="0.2">
      <c r="B79" s="503"/>
      <c r="C79" s="504"/>
      <c r="D79" s="504"/>
      <c r="E79" s="504"/>
      <c r="F79" s="504"/>
      <c r="G79" s="506"/>
      <c r="H79" s="507"/>
      <c r="I79" s="508"/>
      <c r="J79" s="508"/>
      <c r="K79" s="518"/>
      <c r="L79" s="505"/>
      <c r="M79" s="508"/>
      <c r="N79" s="521"/>
      <c r="O79" s="502"/>
      <c r="P79" s="513"/>
      <c r="Q79" s="515"/>
    </row>
    <row r="80" spans="2:17" ht="12.75" customHeight="1" x14ac:dyDescent="0.2">
      <c r="B80" s="503"/>
      <c r="C80" s="504"/>
      <c r="D80" s="504"/>
      <c r="E80" s="504"/>
      <c r="F80" s="504"/>
      <c r="G80" s="506"/>
      <c r="H80" s="507"/>
      <c r="I80" s="508"/>
      <c r="J80" s="508"/>
      <c r="K80" s="519"/>
      <c r="L80" s="505"/>
      <c r="M80" s="508"/>
      <c r="N80" s="521"/>
      <c r="O80" s="502"/>
      <c r="P80" s="513"/>
      <c r="Q80" s="516"/>
    </row>
    <row r="81" spans="2:17" ht="15.75" x14ac:dyDescent="0.2">
      <c r="B81" s="18">
        <v>1</v>
      </c>
      <c r="C81" s="493" t="s">
        <v>15</v>
      </c>
      <c r="D81" s="494"/>
      <c r="E81" s="494"/>
      <c r="F81" s="494"/>
      <c r="G81" s="494"/>
      <c r="H81" s="494"/>
      <c r="I81" s="80">
        <f>I82+I90</f>
        <v>161040</v>
      </c>
      <c r="J81" s="80">
        <f>J82+J90</f>
        <v>145452</v>
      </c>
      <c r="K81" s="361">
        <f t="shared" ref="K81:K94" si="8">J81/I81*100</f>
        <v>90.320417287630406</v>
      </c>
      <c r="L81" s="80"/>
      <c r="M81" s="80"/>
      <c r="N81" s="361"/>
      <c r="O81" s="81">
        <f t="shared" ref="O81:O94" si="9">I81+L81</f>
        <v>161040</v>
      </c>
      <c r="P81" s="81">
        <f t="shared" ref="P81:P94" si="10">J81+M81</f>
        <v>145452</v>
      </c>
      <c r="Q81" s="361">
        <f t="shared" ref="Q81:Q94" si="11">P81/O81*100</f>
        <v>90.320417287630406</v>
      </c>
    </row>
    <row r="82" spans="2:17" s="121" customFormat="1" ht="15" x14ac:dyDescent="0.2">
      <c r="B82" s="18">
        <f t="shared" ref="B82:B94" si="12">B81+1</f>
        <v>2</v>
      </c>
      <c r="C82" s="82">
        <v>1</v>
      </c>
      <c r="D82" s="495" t="s">
        <v>195</v>
      </c>
      <c r="E82" s="496"/>
      <c r="F82" s="496"/>
      <c r="G82" s="496"/>
      <c r="H82" s="496"/>
      <c r="I82" s="83">
        <f>I83+I85+I87+I88</f>
        <v>101540</v>
      </c>
      <c r="J82" s="83">
        <f>J83+J85+J87+J88</f>
        <v>86480</v>
      </c>
      <c r="K82" s="361">
        <f t="shared" si="8"/>
        <v>85.168406539294864</v>
      </c>
      <c r="L82" s="83"/>
      <c r="M82" s="83"/>
      <c r="N82" s="84"/>
      <c r="O82" s="99">
        <f t="shared" si="9"/>
        <v>101540</v>
      </c>
      <c r="P82" s="99">
        <f t="shared" si="10"/>
        <v>86480</v>
      </c>
      <c r="Q82" s="361">
        <f t="shared" si="11"/>
        <v>85.168406539294864</v>
      </c>
    </row>
    <row r="83" spans="2:17" s="121" customFormat="1" x14ac:dyDescent="0.2">
      <c r="B83" s="18">
        <f t="shared" si="12"/>
        <v>3</v>
      </c>
      <c r="C83" s="3"/>
      <c r="D83" s="3"/>
      <c r="E83" s="3"/>
      <c r="F83" s="90" t="s">
        <v>73</v>
      </c>
      <c r="G83" s="2">
        <v>630</v>
      </c>
      <c r="H83" s="3" t="s">
        <v>353</v>
      </c>
      <c r="I83" s="4">
        <f>I84</f>
        <v>19940</v>
      </c>
      <c r="J83" s="4">
        <f>J84</f>
        <v>12576</v>
      </c>
      <c r="K83" s="361">
        <f t="shared" si="8"/>
        <v>63.069207622868603</v>
      </c>
      <c r="L83" s="4"/>
      <c r="M83" s="4"/>
      <c r="N83" s="91"/>
      <c r="O83" s="92">
        <f t="shared" si="9"/>
        <v>19940</v>
      </c>
      <c r="P83" s="92">
        <f t="shared" si="10"/>
        <v>12576</v>
      </c>
      <c r="Q83" s="361">
        <f t="shared" si="11"/>
        <v>63.069207622868603</v>
      </c>
    </row>
    <row r="84" spans="2:17" s="121" customFormat="1" x14ac:dyDescent="0.2">
      <c r="B84" s="18">
        <f t="shared" si="12"/>
        <v>4</v>
      </c>
      <c r="C84" s="6"/>
      <c r="D84" s="6"/>
      <c r="E84" s="6"/>
      <c r="F84" s="93"/>
      <c r="G84" s="5">
        <v>637</v>
      </c>
      <c r="H84" s="6" t="s">
        <v>122</v>
      </c>
      <c r="I84" s="7">
        <v>19940</v>
      </c>
      <c r="J84" s="7">
        <v>12576</v>
      </c>
      <c r="K84" s="361">
        <f t="shared" si="8"/>
        <v>63.069207622868603</v>
      </c>
      <c r="L84" s="7"/>
      <c r="M84" s="7"/>
      <c r="N84" s="94"/>
      <c r="O84" s="95">
        <f t="shared" si="9"/>
        <v>19940</v>
      </c>
      <c r="P84" s="95">
        <f t="shared" si="10"/>
        <v>12576</v>
      </c>
      <c r="Q84" s="361">
        <f t="shared" si="11"/>
        <v>63.069207622868603</v>
      </c>
    </row>
    <row r="85" spans="2:17" s="121" customFormat="1" x14ac:dyDescent="0.2">
      <c r="B85" s="18">
        <f t="shared" si="12"/>
        <v>5</v>
      </c>
      <c r="C85" s="6"/>
      <c r="D85" s="6"/>
      <c r="E85" s="6"/>
      <c r="F85" s="90" t="s">
        <v>241</v>
      </c>
      <c r="G85" s="2">
        <v>630</v>
      </c>
      <c r="H85" s="3" t="s">
        <v>121</v>
      </c>
      <c r="I85" s="4">
        <f>I86</f>
        <v>19000</v>
      </c>
      <c r="J85" s="4">
        <f>J86</f>
        <v>18515</v>
      </c>
      <c r="K85" s="361">
        <f t="shared" si="8"/>
        <v>97.44736842105263</v>
      </c>
      <c r="L85" s="4"/>
      <c r="M85" s="4"/>
      <c r="N85" s="91"/>
      <c r="O85" s="92">
        <f t="shared" si="9"/>
        <v>19000</v>
      </c>
      <c r="P85" s="92">
        <f t="shared" si="10"/>
        <v>18515</v>
      </c>
      <c r="Q85" s="361">
        <f t="shared" si="11"/>
        <v>97.44736842105263</v>
      </c>
    </row>
    <row r="86" spans="2:17" x14ac:dyDescent="0.2">
      <c r="B86" s="18">
        <f t="shared" si="12"/>
        <v>6</v>
      </c>
      <c r="C86" s="6"/>
      <c r="D86" s="6"/>
      <c r="E86" s="6"/>
      <c r="F86" s="93"/>
      <c r="G86" s="5">
        <v>637</v>
      </c>
      <c r="H86" s="6" t="s">
        <v>343</v>
      </c>
      <c r="I86" s="7">
        <f>20000*0.95</f>
        <v>19000</v>
      </c>
      <c r="J86" s="7">
        <v>18515</v>
      </c>
      <c r="K86" s="361">
        <f t="shared" si="8"/>
        <v>97.44736842105263</v>
      </c>
      <c r="L86" s="7"/>
      <c r="M86" s="7"/>
      <c r="N86" s="94"/>
      <c r="O86" s="95">
        <f t="shared" si="9"/>
        <v>19000</v>
      </c>
      <c r="P86" s="95">
        <f t="shared" si="10"/>
        <v>18515</v>
      </c>
      <c r="Q86" s="361">
        <f t="shared" si="11"/>
        <v>97.44736842105263</v>
      </c>
    </row>
    <row r="87" spans="2:17" x14ac:dyDescent="0.2">
      <c r="B87" s="18">
        <f t="shared" si="12"/>
        <v>7</v>
      </c>
      <c r="C87" s="3"/>
      <c r="D87" s="3"/>
      <c r="E87" s="3"/>
      <c r="F87" s="90" t="s">
        <v>74</v>
      </c>
      <c r="G87" s="2">
        <v>600</v>
      </c>
      <c r="H87" s="3" t="s">
        <v>344</v>
      </c>
      <c r="I87" s="4">
        <v>28000</v>
      </c>
      <c r="J87" s="4">
        <v>22871</v>
      </c>
      <c r="K87" s="361">
        <f t="shared" si="8"/>
        <v>81.682142857142864</v>
      </c>
      <c r="L87" s="4"/>
      <c r="M87" s="4"/>
      <c r="N87" s="91"/>
      <c r="O87" s="92">
        <f t="shared" si="9"/>
        <v>28000</v>
      </c>
      <c r="P87" s="92">
        <f t="shared" si="10"/>
        <v>22871</v>
      </c>
      <c r="Q87" s="361">
        <f t="shared" si="11"/>
        <v>81.682142857142864</v>
      </c>
    </row>
    <row r="88" spans="2:17" x14ac:dyDescent="0.2">
      <c r="B88" s="18">
        <f t="shared" si="12"/>
        <v>8</v>
      </c>
      <c r="C88" s="3"/>
      <c r="D88" s="3"/>
      <c r="E88" s="3"/>
      <c r="F88" s="90" t="s">
        <v>217</v>
      </c>
      <c r="G88" s="2">
        <v>630</v>
      </c>
      <c r="H88" s="3" t="s">
        <v>354</v>
      </c>
      <c r="I88" s="4">
        <f>I89</f>
        <v>34600</v>
      </c>
      <c r="J88" s="4">
        <f>J89</f>
        <v>32518</v>
      </c>
      <c r="K88" s="361">
        <f t="shared" si="8"/>
        <v>93.982658959537574</v>
      </c>
      <c r="L88" s="4"/>
      <c r="M88" s="4"/>
      <c r="N88" s="91"/>
      <c r="O88" s="92">
        <f t="shared" si="9"/>
        <v>34600</v>
      </c>
      <c r="P88" s="92">
        <f t="shared" si="10"/>
        <v>32518</v>
      </c>
      <c r="Q88" s="361">
        <f t="shared" si="11"/>
        <v>93.982658959537574</v>
      </c>
    </row>
    <row r="89" spans="2:17" x14ac:dyDescent="0.2">
      <c r="B89" s="18">
        <f t="shared" si="12"/>
        <v>9</v>
      </c>
      <c r="C89" s="3"/>
      <c r="D89" s="3"/>
      <c r="E89" s="3"/>
      <c r="F89" s="93"/>
      <c r="G89" s="5">
        <v>637</v>
      </c>
      <c r="H89" s="6" t="s">
        <v>122</v>
      </c>
      <c r="I89" s="7">
        <f>33000+1600</f>
        <v>34600</v>
      </c>
      <c r="J89" s="7">
        <v>32518</v>
      </c>
      <c r="K89" s="361">
        <f t="shared" si="8"/>
        <v>93.982658959537574</v>
      </c>
      <c r="L89" s="4"/>
      <c r="M89" s="4"/>
      <c r="N89" s="91"/>
      <c r="O89" s="95">
        <f t="shared" si="9"/>
        <v>34600</v>
      </c>
      <c r="P89" s="95">
        <f t="shared" si="10"/>
        <v>32518</v>
      </c>
      <c r="Q89" s="361">
        <f t="shared" si="11"/>
        <v>93.982658959537574</v>
      </c>
    </row>
    <row r="90" spans="2:17" ht="15" x14ac:dyDescent="0.2">
      <c r="B90" s="18">
        <f t="shared" si="12"/>
        <v>10</v>
      </c>
      <c r="C90" s="82">
        <v>2</v>
      </c>
      <c r="D90" s="495" t="s">
        <v>242</v>
      </c>
      <c r="E90" s="496"/>
      <c r="F90" s="496"/>
      <c r="G90" s="496"/>
      <c r="H90" s="496"/>
      <c r="I90" s="83">
        <f>+I91+I93</f>
        <v>59500</v>
      </c>
      <c r="J90" s="83">
        <f>+J91+J93</f>
        <v>58972</v>
      </c>
      <c r="K90" s="361">
        <f t="shared" si="8"/>
        <v>99.11260504201681</v>
      </c>
      <c r="L90" s="83"/>
      <c r="M90" s="83"/>
      <c r="N90" s="84"/>
      <c r="O90" s="99">
        <f t="shared" si="9"/>
        <v>59500</v>
      </c>
      <c r="P90" s="99">
        <f t="shared" si="10"/>
        <v>58972</v>
      </c>
      <c r="Q90" s="361">
        <f t="shared" si="11"/>
        <v>99.11260504201681</v>
      </c>
    </row>
    <row r="91" spans="2:17" x14ac:dyDescent="0.2">
      <c r="B91" s="18">
        <f t="shared" si="12"/>
        <v>11</v>
      </c>
      <c r="C91" s="3"/>
      <c r="D91" s="3"/>
      <c r="E91" s="3"/>
      <c r="F91" s="90" t="s">
        <v>241</v>
      </c>
      <c r="G91" s="2">
        <v>630</v>
      </c>
      <c r="H91" s="3" t="s">
        <v>121</v>
      </c>
      <c r="I91" s="4">
        <f>I92</f>
        <v>4500</v>
      </c>
      <c r="J91" s="4">
        <f>J92</f>
        <v>3972</v>
      </c>
      <c r="K91" s="361">
        <f t="shared" si="8"/>
        <v>88.266666666666666</v>
      </c>
      <c r="L91" s="4"/>
      <c r="M91" s="4"/>
      <c r="N91" s="91"/>
      <c r="O91" s="92">
        <f t="shared" si="9"/>
        <v>4500</v>
      </c>
      <c r="P91" s="92">
        <f t="shared" si="10"/>
        <v>3972</v>
      </c>
      <c r="Q91" s="361">
        <f t="shared" si="11"/>
        <v>88.266666666666666</v>
      </c>
    </row>
    <row r="92" spans="2:17" x14ac:dyDescent="0.2">
      <c r="B92" s="18">
        <f t="shared" si="12"/>
        <v>12</v>
      </c>
      <c r="C92" s="6"/>
      <c r="D92" s="6"/>
      <c r="E92" s="6"/>
      <c r="F92" s="93"/>
      <c r="G92" s="5">
        <v>637</v>
      </c>
      <c r="H92" s="6" t="s">
        <v>122</v>
      </c>
      <c r="I92" s="7">
        <v>4500</v>
      </c>
      <c r="J92" s="7">
        <v>3972</v>
      </c>
      <c r="K92" s="361">
        <f t="shared" si="8"/>
        <v>88.266666666666666</v>
      </c>
      <c r="L92" s="7"/>
      <c r="M92" s="7"/>
      <c r="N92" s="94"/>
      <c r="O92" s="95">
        <f t="shared" si="9"/>
        <v>4500</v>
      </c>
      <c r="P92" s="95">
        <f t="shared" si="10"/>
        <v>3972</v>
      </c>
      <c r="Q92" s="361">
        <f t="shared" si="11"/>
        <v>88.266666666666666</v>
      </c>
    </row>
    <row r="93" spans="2:17" x14ac:dyDescent="0.2">
      <c r="B93" s="18">
        <f t="shared" si="12"/>
        <v>13</v>
      </c>
      <c r="C93" s="3"/>
      <c r="D93" s="3"/>
      <c r="E93" s="3"/>
      <c r="F93" s="90" t="s">
        <v>241</v>
      </c>
      <c r="G93" s="2">
        <v>640</v>
      </c>
      <c r="H93" s="3" t="s">
        <v>129</v>
      </c>
      <c r="I93" s="4">
        <f>I94</f>
        <v>55000</v>
      </c>
      <c r="J93" s="4">
        <f>J94</f>
        <v>55000</v>
      </c>
      <c r="K93" s="361">
        <f t="shared" si="8"/>
        <v>100</v>
      </c>
      <c r="L93" s="4"/>
      <c r="M93" s="4"/>
      <c r="N93" s="91"/>
      <c r="O93" s="92">
        <f t="shared" si="9"/>
        <v>55000</v>
      </c>
      <c r="P93" s="92">
        <f t="shared" si="10"/>
        <v>55000</v>
      </c>
      <c r="Q93" s="361">
        <f t="shared" si="11"/>
        <v>100</v>
      </c>
    </row>
    <row r="94" spans="2:17" x14ac:dyDescent="0.2">
      <c r="B94" s="18">
        <f t="shared" si="12"/>
        <v>14</v>
      </c>
      <c r="C94" s="130"/>
      <c r="D94" s="130"/>
      <c r="E94" s="130"/>
      <c r="F94" s="131"/>
      <c r="G94" s="131"/>
      <c r="H94" s="130" t="s">
        <v>334</v>
      </c>
      <c r="I94" s="132">
        <f>24000+16000+15000</f>
        <v>55000</v>
      </c>
      <c r="J94" s="132">
        <v>55000</v>
      </c>
      <c r="K94" s="361">
        <f t="shared" si="8"/>
        <v>100</v>
      </c>
      <c r="L94" s="132"/>
      <c r="M94" s="132"/>
      <c r="N94" s="133"/>
      <c r="O94" s="134">
        <f t="shared" si="9"/>
        <v>55000</v>
      </c>
      <c r="P94" s="134">
        <f t="shared" si="10"/>
        <v>55000</v>
      </c>
      <c r="Q94" s="361">
        <f t="shared" si="11"/>
        <v>100</v>
      </c>
    </row>
    <row r="95" spans="2:17" x14ac:dyDescent="0.2">
      <c r="B95" s="1"/>
      <c r="F95" s="1"/>
      <c r="G95" s="1"/>
      <c r="I95" s="1"/>
      <c r="J95" s="1"/>
      <c r="K95" s="1"/>
      <c r="L95" s="1"/>
      <c r="M95" s="1"/>
      <c r="N95" s="1"/>
      <c r="O95" s="1"/>
    </row>
    <row r="96" spans="2:17" x14ac:dyDescent="0.2">
      <c r="B96" s="1"/>
      <c r="F96" s="1"/>
      <c r="G96" s="1"/>
      <c r="I96" s="1"/>
      <c r="J96" s="1"/>
      <c r="K96" s="1"/>
      <c r="L96" s="1"/>
      <c r="M96" s="1"/>
      <c r="N96" s="1"/>
      <c r="O96" s="1"/>
    </row>
    <row r="97" spans="2:17" x14ac:dyDescent="0.2">
      <c r="B97" s="1"/>
      <c r="F97" s="1"/>
      <c r="G97" s="1"/>
      <c r="I97" s="1"/>
      <c r="J97" s="1"/>
      <c r="K97" s="1"/>
      <c r="L97" s="1"/>
      <c r="M97" s="1"/>
      <c r="N97" s="1"/>
      <c r="O97" s="1"/>
    </row>
    <row r="98" spans="2:17" x14ac:dyDescent="0.2">
      <c r="B98" s="1"/>
      <c r="F98" s="1"/>
      <c r="G98" s="1"/>
      <c r="I98" s="1"/>
      <c r="J98" s="1"/>
      <c r="K98" s="1"/>
      <c r="L98" s="1"/>
      <c r="M98" s="1"/>
      <c r="N98" s="1"/>
      <c r="O98" s="1"/>
    </row>
    <row r="99" spans="2:17" x14ac:dyDescent="0.2">
      <c r="B99" s="1"/>
      <c r="F99" s="1"/>
      <c r="G99" s="1"/>
      <c r="I99" s="1"/>
      <c r="J99" s="1"/>
      <c r="K99" s="1"/>
      <c r="L99" s="1"/>
      <c r="M99" s="1"/>
      <c r="N99" s="1"/>
      <c r="O99" s="1"/>
    </row>
    <row r="100" spans="2:17" x14ac:dyDescent="0.2">
      <c r="B100" s="1"/>
      <c r="F100" s="1"/>
      <c r="G100" s="1"/>
      <c r="I100" s="1"/>
      <c r="J100" s="1"/>
      <c r="K100" s="1"/>
      <c r="L100" s="1"/>
      <c r="M100" s="1"/>
      <c r="N100" s="1"/>
      <c r="O100" s="1"/>
    </row>
    <row r="101" spans="2:17" ht="7.5" customHeight="1" x14ac:dyDescent="0.2">
      <c r="B101" s="1"/>
      <c r="F101" s="1"/>
      <c r="G101" s="1"/>
      <c r="I101" s="1"/>
      <c r="J101" s="1"/>
      <c r="K101" s="1"/>
      <c r="L101" s="1"/>
      <c r="M101" s="1"/>
      <c r="N101" s="1"/>
      <c r="O101" s="1"/>
    </row>
    <row r="102" spans="2:17" ht="27.75" x14ac:dyDescent="0.4">
      <c r="B102" s="499" t="s">
        <v>16</v>
      </c>
      <c r="C102" s="500"/>
      <c r="D102" s="500"/>
      <c r="E102" s="500"/>
      <c r="F102" s="500"/>
      <c r="G102" s="500"/>
      <c r="H102" s="500"/>
      <c r="I102" s="500"/>
      <c r="J102" s="500"/>
      <c r="K102" s="500"/>
      <c r="L102" s="500"/>
      <c r="M102" s="500"/>
      <c r="N102" s="500"/>
      <c r="O102" s="500"/>
    </row>
    <row r="103" spans="2:17" ht="15" customHeight="1" x14ac:dyDescent="0.35">
      <c r="B103" s="509" t="s">
        <v>418</v>
      </c>
      <c r="C103" s="510"/>
      <c r="D103" s="510"/>
      <c r="E103" s="510"/>
      <c r="F103" s="510"/>
      <c r="G103" s="510"/>
      <c r="H103" s="510"/>
      <c r="I103" s="510"/>
      <c r="J103" s="510"/>
      <c r="K103" s="511"/>
      <c r="L103" s="510"/>
      <c r="M103" s="510"/>
      <c r="N103" s="511"/>
      <c r="O103" s="501" t="s">
        <v>741</v>
      </c>
      <c r="P103" s="512" t="s">
        <v>739</v>
      </c>
      <c r="Q103" s="514" t="s">
        <v>738</v>
      </c>
    </row>
    <row r="104" spans="2:17" ht="12.75" customHeight="1" x14ac:dyDescent="0.2">
      <c r="B104" s="503"/>
      <c r="C104" s="504" t="s">
        <v>114</v>
      </c>
      <c r="D104" s="504" t="s">
        <v>115</v>
      </c>
      <c r="E104" s="504"/>
      <c r="F104" s="504" t="s">
        <v>116</v>
      </c>
      <c r="G104" s="506" t="s">
        <v>117</v>
      </c>
      <c r="H104" s="507" t="s">
        <v>118</v>
      </c>
      <c r="I104" s="508" t="s">
        <v>742</v>
      </c>
      <c r="J104" s="508" t="s">
        <v>744</v>
      </c>
      <c r="K104" s="517" t="s">
        <v>738</v>
      </c>
      <c r="L104" s="505" t="s">
        <v>743</v>
      </c>
      <c r="M104" s="508" t="s">
        <v>745</v>
      </c>
      <c r="N104" s="520" t="s">
        <v>738</v>
      </c>
      <c r="O104" s="502"/>
      <c r="P104" s="513"/>
      <c r="Q104" s="515"/>
    </row>
    <row r="105" spans="2:17" ht="12.75" customHeight="1" x14ac:dyDescent="0.2">
      <c r="B105" s="503"/>
      <c r="C105" s="504"/>
      <c r="D105" s="504"/>
      <c r="E105" s="504"/>
      <c r="F105" s="504"/>
      <c r="G105" s="506"/>
      <c r="H105" s="507"/>
      <c r="I105" s="508"/>
      <c r="J105" s="508"/>
      <c r="K105" s="518"/>
      <c r="L105" s="505"/>
      <c r="M105" s="508"/>
      <c r="N105" s="521"/>
      <c r="O105" s="502"/>
      <c r="P105" s="513"/>
      <c r="Q105" s="515"/>
    </row>
    <row r="106" spans="2:17" ht="12.75" customHeight="1" x14ac:dyDescent="0.2">
      <c r="B106" s="503"/>
      <c r="C106" s="504"/>
      <c r="D106" s="504"/>
      <c r="E106" s="504"/>
      <c r="F106" s="504"/>
      <c r="G106" s="506"/>
      <c r="H106" s="507"/>
      <c r="I106" s="508"/>
      <c r="J106" s="508"/>
      <c r="K106" s="518"/>
      <c r="L106" s="505"/>
      <c r="M106" s="508"/>
      <c r="N106" s="521"/>
      <c r="O106" s="502"/>
      <c r="P106" s="513"/>
      <c r="Q106" s="515"/>
    </row>
    <row r="107" spans="2:17" ht="12.75" customHeight="1" x14ac:dyDescent="0.2">
      <c r="B107" s="503"/>
      <c r="C107" s="504"/>
      <c r="D107" s="504"/>
      <c r="E107" s="504"/>
      <c r="F107" s="504"/>
      <c r="G107" s="506"/>
      <c r="H107" s="507"/>
      <c r="I107" s="508"/>
      <c r="J107" s="508"/>
      <c r="K107" s="519"/>
      <c r="L107" s="505"/>
      <c r="M107" s="508"/>
      <c r="N107" s="521"/>
      <c r="O107" s="502"/>
      <c r="P107" s="513"/>
      <c r="Q107" s="516"/>
    </row>
    <row r="108" spans="2:17" ht="15.75" x14ac:dyDescent="0.2">
      <c r="B108" s="18">
        <v>1</v>
      </c>
      <c r="C108" s="493" t="s">
        <v>16</v>
      </c>
      <c r="D108" s="494"/>
      <c r="E108" s="494"/>
      <c r="F108" s="494"/>
      <c r="G108" s="494"/>
      <c r="H108" s="494"/>
      <c r="I108" s="80">
        <f>I199+I184+I179+I158+I135+I131+I112+I109</f>
        <v>7301002</v>
      </c>
      <c r="J108" s="80">
        <f>J199+J184+J179+J158+J135+J131+J112+J109</f>
        <v>6728410</v>
      </c>
      <c r="K108" s="361">
        <f t="shared" ref="K108:K119" si="13">J108/I108*100</f>
        <v>92.1573504568277</v>
      </c>
      <c r="L108" s="80">
        <f>L199+L184+L179+L158+L135+L131+L112+L109</f>
        <v>4053629</v>
      </c>
      <c r="M108" s="80">
        <f>M199+M184+M179+M158+M135+M131+M112+M109</f>
        <v>1270074</v>
      </c>
      <c r="N108" s="361">
        <f>M108/L108*100</f>
        <v>31.33177703238259</v>
      </c>
      <c r="O108" s="81">
        <f t="shared" ref="O108:O139" si="14">I108+L108</f>
        <v>11354631</v>
      </c>
      <c r="P108" s="81">
        <f t="shared" ref="P108:P139" si="15">J108+M108</f>
        <v>7998484</v>
      </c>
      <c r="Q108" s="361">
        <f t="shared" ref="Q108:Q139" si="16">P108/O108*100</f>
        <v>70.442482895305005</v>
      </c>
    </row>
    <row r="109" spans="2:17" ht="15" x14ac:dyDescent="0.2">
      <c r="B109" s="18">
        <f t="shared" ref="B109:B140" si="17">B108+1</f>
        <v>2</v>
      </c>
      <c r="C109" s="82">
        <v>1</v>
      </c>
      <c r="D109" s="495" t="s">
        <v>143</v>
      </c>
      <c r="E109" s="496"/>
      <c r="F109" s="496"/>
      <c r="G109" s="496"/>
      <c r="H109" s="496"/>
      <c r="I109" s="83">
        <f>I110</f>
        <v>129000</v>
      </c>
      <c r="J109" s="83">
        <f>J110</f>
        <v>125487</v>
      </c>
      <c r="K109" s="361">
        <f t="shared" si="13"/>
        <v>97.276744186046514</v>
      </c>
      <c r="L109" s="83"/>
      <c r="M109" s="83"/>
      <c r="N109" s="361"/>
      <c r="O109" s="99">
        <f t="shared" si="14"/>
        <v>129000</v>
      </c>
      <c r="P109" s="99">
        <f t="shared" si="15"/>
        <v>125487</v>
      </c>
      <c r="Q109" s="361">
        <f t="shared" si="16"/>
        <v>97.276744186046514</v>
      </c>
    </row>
    <row r="110" spans="2:17" x14ac:dyDescent="0.2">
      <c r="B110" s="18">
        <f t="shared" si="17"/>
        <v>3</v>
      </c>
      <c r="C110" s="3"/>
      <c r="D110" s="3"/>
      <c r="E110" s="3"/>
      <c r="F110" s="90" t="s">
        <v>73</v>
      </c>
      <c r="G110" s="2">
        <v>630</v>
      </c>
      <c r="H110" s="3" t="s">
        <v>121</v>
      </c>
      <c r="I110" s="4">
        <f>I111</f>
        <v>129000</v>
      </c>
      <c r="J110" s="4">
        <f>J111</f>
        <v>125487</v>
      </c>
      <c r="K110" s="361">
        <f t="shared" si="13"/>
        <v>97.276744186046514</v>
      </c>
      <c r="L110" s="4"/>
      <c r="M110" s="4"/>
      <c r="N110" s="361"/>
      <c r="O110" s="92">
        <f t="shared" si="14"/>
        <v>129000</v>
      </c>
      <c r="P110" s="92">
        <f t="shared" si="15"/>
        <v>125487</v>
      </c>
      <c r="Q110" s="361">
        <f t="shared" si="16"/>
        <v>97.276744186046514</v>
      </c>
    </row>
    <row r="111" spans="2:17" x14ac:dyDescent="0.2">
      <c r="B111" s="18">
        <f t="shared" si="17"/>
        <v>4</v>
      </c>
      <c r="C111" s="6"/>
      <c r="D111" s="6"/>
      <c r="E111" s="6"/>
      <c r="F111" s="93"/>
      <c r="G111" s="5">
        <v>637</v>
      </c>
      <c r="H111" s="6" t="s">
        <v>122</v>
      </c>
      <c r="I111" s="7">
        <f>110000+16000+3000</f>
        <v>129000</v>
      </c>
      <c r="J111" s="7">
        <v>125487</v>
      </c>
      <c r="K111" s="361">
        <f t="shared" si="13"/>
        <v>97.276744186046514</v>
      </c>
      <c r="L111" s="7"/>
      <c r="M111" s="7"/>
      <c r="N111" s="361"/>
      <c r="O111" s="95">
        <f t="shared" si="14"/>
        <v>129000</v>
      </c>
      <c r="P111" s="95">
        <f t="shared" si="15"/>
        <v>125487</v>
      </c>
      <c r="Q111" s="361">
        <f t="shared" si="16"/>
        <v>97.276744186046514</v>
      </c>
    </row>
    <row r="112" spans="2:17" ht="13.5" customHeight="1" x14ac:dyDescent="0.2">
      <c r="B112" s="18">
        <f t="shared" si="17"/>
        <v>5</v>
      </c>
      <c r="C112" s="82">
        <v>2</v>
      </c>
      <c r="D112" s="495" t="s">
        <v>142</v>
      </c>
      <c r="E112" s="496"/>
      <c r="F112" s="496"/>
      <c r="G112" s="496"/>
      <c r="H112" s="496"/>
      <c r="I112" s="83">
        <f>I123+I116+I113</f>
        <v>117170</v>
      </c>
      <c r="J112" s="83">
        <f>J123+J116+J113</f>
        <v>92677</v>
      </c>
      <c r="K112" s="361">
        <f t="shared" si="13"/>
        <v>79.09618503029786</v>
      </c>
      <c r="L112" s="83">
        <f>L123+L116+L113</f>
        <v>733391</v>
      </c>
      <c r="M112" s="83">
        <f>M123+M116+M113</f>
        <v>187476</v>
      </c>
      <c r="N112" s="361">
        <f>M112/L112*100</f>
        <v>25.562898917494216</v>
      </c>
      <c r="O112" s="99">
        <f t="shared" si="14"/>
        <v>850561</v>
      </c>
      <c r="P112" s="99">
        <f t="shared" si="15"/>
        <v>280153</v>
      </c>
      <c r="Q112" s="361">
        <f t="shared" si="16"/>
        <v>32.937437761665535</v>
      </c>
    </row>
    <row r="113" spans="2:17" ht="12.75" customHeight="1" x14ac:dyDescent="0.25">
      <c r="B113" s="18">
        <f t="shared" si="17"/>
        <v>6</v>
      </c>
      <c r="C113" s="96"/>
      <c r="D113" s="96">
        <v>1</v>
      </c>
      <c r="E113" s="497" t="s">
        <v>148</v>
      </c>
      <c r="F113" s="498"/>
      <c r="G113" s="498"/>
      <c r="H113" s="498"/>
      <c r="I113" s="97">
        <f>I114</f>
        <v>13760</v>
      </c>
      <c r="J113" s="97">
        <f>J114</f>
        <v>10747</v>
      </c>
      <c r="K113" s="361">
        <f t="shared" si="13"/>
        <v>78.103197674418595</v>
      </c>
      <c r="L113" s="97">
        <v>0</v>
      </c>
      <c r="M113" s="97"/>
      <c r="N113" s="361"/>
      <c r="O113" s="98">
        <f t="shared" si="14"/>
        <v>13760</v>
      </c>
      <c r="P113" s="98">
        <f t="shared" si="15"/>
        <v>10747</v>
      </c>
      <c r="Q113" s="361">
        <f t="shared" si="16"/>
        <v>78.103197674418595</v>
      </c>
    </row>
    <row r="114" spans="2:17" x14ac:dyDescent="0.2">
      <c r="B114" s="18">
        <f t="shared" si="17"/>
        <v>7</v>
      </c>
      <c r="C114" s="3"/>
      <c r="D114" s="3"/>
      <c r="E114" s="3"/>
      <c r="F114" s="90" t="s">
        <v>73</v>
      </c>
      <c r="G114" s="2">
        <v>630</v>
      </c>
      <c r="H114" s="3" t="s">
        <v>121</v>
      </c>
      <c r="I114" s="4">
        <f>I115</f>
        <v>13760</v>
      </c>
      <c r="J114" s="4">
        <f>J115</f>
        <v>10747</v>
      </c>
      <c r="K114" s="361">
        <f t="shared" si="13"/>
        <v>78.103197674418595</v>
      </c>
      <c r="L114" s="4"/>
      <c r="M114" s="4"/>
      <c r="N114" s="361"/>
      <c r="O114" s="92">
        <f t="shared" si="14"/>
        <v>13760</v>
      </c>
      <c r="P114" s="92">
        <f t="shared" si="15"/>
        <v>10747</v>
      </c>
      <c r="Q114" s="361">
        <f t="shared" si="16"/>
        <v>78.103197674418595</v>
      </c>
    </row>
    <row r="115" spans="2:17" ht="21" customHeight="1" x14ac:dyDescent="0.2">
      <c r="B115" s="18">
        <f t="shared" si="17"/>
        <v>8</v>
      </c>
      <c r="C115" s="6"/>
      <c r="D115" s="6"/>
      <c r="E115" s="6"/>
      <c r="F115" s="93"/>
      <c r="G115" s="5">
        <v>637</v>
      </c>
      <c r="H115" s="6" t="s">
        <v>122</v>
      </c>
      <c r="I115" s="7">
        <f>13060+700</f>
        <v>13760</v>
      </c>
      <c r="J115" s="7">
        <v>10747</v>
      </c>
      <c r="K115" s="361">
        <f t="shared" si="13"/>
        <v>78.103197674418595</v>
      </c>
      <c r="L115" s="7"/>
      <c r="M115" s="7"/>
      <c r="N115" s="361"/>
      <c r="O115" s="95">
        <f t="shared" si="14"/>
        <v>13760</v>
      </c>
      <c r="P115" s="95">
        <f t="shared" si="15"/>
        <v>10747</v>
      </c>
      <c r="Q115" s="361">
        <f t="shared" si="16"/>
        <v>78.103197674418595</v>
      </c>
    </row>
    <row r="116" spans="2:17" ht="15" x14ac:dyDescent="0.25">
      <c r="B116" s="18">
        <f t="shared" si="17"/>
        <v>9</v>
      </c>
      <c r="C116" s="96"/>
      <c r="D116" s="96">
        <v>2</v>
      </c>
      <c r="E116" s="497" t="s">
        <v>141</v>
      </c>
      <c r="F116" s="498"/>
      <c r="G116" s="498"/>
      <c r="H116" s="498"/>
      <c r="I116" s="97">
        <f>I117</f>
        <v>29410</v>
      </c>
      <c r="J116" s="97">
        <f>J117</f>
        <v>21983</v>
      </c>
      <c r="K116" s="361">
        <f t="shared" si="13"/>
        <v>74.746684801088065</v>
      </c>
      <c r="L116" s="97">
        <f>L120</f>
        <v>150100</v>
      </c>
      <c r="M116" s="97">
        <f>M120</f>
        <v>183</v>
      </c>
      <c r="N116" s="361">
        <f>M116/L116*100</f>
        <v>0.12191872085276484</v>
      </c>
      <c r="O116" s="98">
        <f t="shared" si="14"/>
        <v>179510</v>
      </c>
      <c r="P116" s="98">
        <f t="shared" si="15"/>
        <v>22166</v>
      </c>
      <c r="Q116" s="361">
        <f t="shared" si="16"/>
        <v>12.348058603977494</v>
      </c>
    </row>
    <row r="117" spans="2:17" x14ac:dyDescent="0.2">
      <c r="B117" s="18">
        <f t="shared" si="17"/>
        <v>10</v>
      </c>
      <c r="C117" s="3"/>
      <c r="D117" s="3"/>
      <c r="E117" s="3"/>
      <c r="F117" s="90" t="s">
        <v>73</v>
      </c>
      <c r="G117" s="2">
        <v>630</v>
      </c>
      <c r="H117" s="3" t="s">
        <v>121</v>
      </c>
      <c r="I117" s="4">
        <f>I119+I118</f>
        <v>29410</v>
      </c>
      <c r="J117" s="4">
        <f>J119+J118</f>
        <v>21983</v>
      </c>
      <c r="K117" s="361">
        <f t="shared" si="13"/>
        <v>74.746684801088065</v>
      </c>
      <c r="L117" s="4"/>
      <c r="M117" s="4"/>
      <c r="N117" s="361"/>
      <c r="O117" s="92">
        <f t="shared" si="14"/>
        <v>29410</v>
      </c>
      <c r="P117" s="92">
        <f t="shared" si="15"/>
        <v>21983</v>
      </c>
      <c r="Q117" s="361">
        <f t="shared" si="16"/>
        <v>74.746684801088065</v>
      </c>
    </row>
    <row r="118" spans="2:17" x14ac:dyDescent="0.2">
      <c r="B118" s="18">
        <f t="shared" si="17"/>
        <v>11</v>
      </c>
      <c r="C118" s="6"/>
      <c r="D118" s="6"/>
      <c r="E118" s="6"/>
      <c r="F118" s="93"/>
      <c r="G118" s="5">
        <v>636</v>
      </c>
      <c r="H118" s="6" t="s">
        <v>126</v>
      </c>
      <c r="I118" s="7">
        <v>9410</v>
      </c>
      <c r="J118" s="7">
        <v>9408</v>
      </c>
      <c r="K118" s="361">
        <f t="shared" si="13"/>
        <v>99.9787460148778</v>
      </c>
      <c r="L118" s="7"/>
      <c r="M118" s="7"/>
      <c r="N118" s="361"/>
      <c r="O118" s="95">
        <f t="shared" si="14"/>
        <v>9410</v>
      </c>
      <c r="P118" s="95">
        <f t="shared" si="15"/>
        <v>9408</v>
      </c>
      <c r="Q118" s="361">
        <f t="shared" si="16"/>
        <v>99.9787460148778</v>
      </c>
    </row>
    <row r="119" spans="2:17" x14ac:dyDescent="0.2">
      <c r="B119" s="18">
        <f t="shared" si="17"/>
        <v>12</v>
      </c>
      <c r="C119" s="6"/>
      <c r="D119" s="6"/>
      <c r="E119" s="6"/>
      <c r="F119" s="93"/>
      <c r="G119" s="5">
        <v>637</v>
      </c>
      <c r="H119" s="6" t="s">
        <v>122</v>
      </c>
      <c r="I119" s="7">
        <v>20000</v>
      </c>
      <c r="J119" s="7">
        <v>12575</v>
      </c>
      <c r="K119" s="361">
        <f t="shared" si="13"/>
        <v>62.875</v>
      </c>
      <c r="L119" s="7"/>
      <c r="M119" s="7"/>
      <c r="N119" s="361"/>
      <c r="O119" s="95">
        <f t="shared" si="14"/>
        <v>20000</v>
      </c>
      <c r="P119" s="95">
        <f t="shared" si="15"/>
        <v>12575</v>
      </c>
      <c r="Q119" s="361">
        <f t="shared" si="16"/>
        <v>62.875</v>
      </c>
    </row>
    <row r="120" spans="2:17" x14ac:dyDescent="0.2">
      <c r="B120" s="18">
        <f t="shared" si="17"/>
        <v>13</v>
      </c>
      <c r="C120" s="3"/>
      <c r="D120" s="3"/>
      <c r="E120" s="3"/>
      <c r="F120" s="90" t="s">
        <v>73</v>
      </c>
      <c r="G120" s="2">
        <v>710</v>
      </c>
      <c r="H120" s="3" t="s">
        <v>175</v>
      </c>
      <c r="I120" s="4"/>
      <c r="J120" s="4"/>
      <c r="K120" s="361"/>
      <c r="L120" s="4">
        <f>L121</f>
        <v>150100</v>
      </c>
      <c r="M120" s="4">
        <f>M121</f>
        <v>183</v>
      </c>
      <c r="N120" s="361">
        <f>M120/L120*100</f>
        <v>0.12191872085276484</v>
      </c>
      <c r="O120" s="92">
        <f t="shared" si="14"/>
        <v>150100</v>
      </c>
      <c r="P120" s="92">
        <f t="shared" si="15"/>
        <v>183</v>
      </c>
      <c r="Q120" s="361">
        <f t="shared" si="16"/>
        <v>0.12191872085276484</v>
      </c>
    </row>
    <row r="121" spans="2:17" x14ac:dyDescent="0.2">
      <c r="B121" s="18">
        <f t="shared" si="17"/>
        <v>14</v>
      </c>
      <c r="C121" s="6"/>
      <c r="D121" s="6"/>
      <c r="E121" s="6"/>
      <c r="F121" s="93"/>
      <c r="G121" s="5">
        <v>712</v>
      </c>
      <c r="H121" s="6" t="s">
        <v>57</v>
      </c>
      <c r="I121" s="7"/>
      <c r="J121" s="7"/>
      <c r="K121" s="361"/>
      <c r="L121" s="7">
        <f>L122</f>
        <v>150100</v>
      </c>
      <c r="M121" s="7">
        <f>M122</f>
        <v>183</v>
      </c>
      <c r="N121" s="361">
        <f>M121/L121*100</f>
        <v>0.12191872085276484</v>
      </c>
      <c r="O121" s="95">
        <f t="shared" si="14"/>
        <v>150100</v>
      </c>
      <c r="P121" s="95">
        <f t="shared" si="15"/>
        <v>183</v>
      </c>
      <c r="Q121" s="361">
        <f t="shared" si="16"/>
        <v>0.12191872085276484</v>
      </c>
    </row>
    <row r="122" spans="2:17" x14ac:dyDescent="0.2">
      <c r="B122" s="18">
        <f t="shared" si="17"/>
        <v>15</v>
      </c>
      <c r="C122" s="67"/>
      <c r="D122" s="67"/>
      <c r="E122" s="9"/>
      <c r="F122" s="106"/>
      <c r="G122" s="106"/>
      <c r="H122" s="9" t="s">
        <v>335</v>
      </c>
      <c r="I122" s="10"/>
      <c r="J122" s="10"/>
      <c r="K122" s="361"/>
      <c r="L122" s="10">
        <v>150100</v>
      </c>
      <c r="M122" s="10">
        <v>183</v>
      </c>
      <c r="N122" s="361">
        <f>M122/L122*100</f>
        <v>0.12191872085276484</v>
      </c>
      <c r="O122" s="108">
        <f t="shared" si="14"/>
        <v>150100</v>
      </c>
      <c r="P122" s="108">
        <f t="shared" si="15"/>
        <v>183</v>
      </c>
      <c r="Q122" s="361">
        <f t="shared" si="16"/>
        <v>0.12191872085276484</v>
      </c>
    </row>
    <row r="123" spans="2:17" ht="15" x14ac:dyDescent="0.25">
      <c r="B123" s="18">
        <f t="shared" si="17"/>
        <v>16</v>
      </c>
      <c r="C123" s="96"/>
      <c r="D123" s="96">
        <v>3</v>
      </c>
      <c r="E123" s="497" t="s">
        <v>207</v>
      </c>
      <c r="F123" s="535"/>
      <c r="G123" s="535"/>
      <c r="H123" s="535"/>
      <c r="I123" s="97">
        <f>I124</f>
        <v>74000</v>
      </c>
      <c r="J123" s="97">
        <f>J124</f>
        <v>59947</v>
      </c>
      <c r="K123" s="361">
        <f>J123/I123*100</f>
        <v>81.00945945945945</v>
      </c>
      <c r="L123" s="97">
        <f>L127</f>
        <v>583291</v>
      </c>
      <c r="M123" s="97">
        <f>M127</f>
        <v>187293</v>
      </c>
      <c r="N123" s="361">
        <f>M123/L123*100</f>
        <v>32.109701675493021</v>
      </c>
      <c r="O123" s="98">
        <f t="shared" si="14"/>
        <v>657291</v>
      </c>
      <c r="P123" s="98">
        <f t="shared" si="15"/>
        <v>247240</v>
      </c>
      <c r="Q123" s="361">
        <f t="shared" si="16"/>
        <v>37.614998531852713</v>
      </c>
    </row>
    <row r="124" spans="2:17" x14ac:dyDescent="0.2">
      <c r="B124" s="18">
        <f t="shared" si="17"/>
        <v>17</v>
      </c>
      <c r="C124" s="3"/>
      <c r="D124" s="3"/>
      <c r="E124" s="3"/>
      <c r="F124" s="90" t="s">
        <v>73</v>
      </c>
      <c r="G124" s="2">
        <v>630</v>
      </c>
      <c r="H124" s="3" t="s">
        <v>121</v>
      </c>
      <c r="I124" s="4">
        <f>I126+I125</f>
        <v>74000</v>
      </c>
      <c r="J124" s="4">
        <f>J126+J125</f>
        <v>59947</v>
      </c>
      <c r="K124" s="361">
        <f>J124/I124*100</f>
        <v>81.00945945945945</v>
      </c>
      <c r="L124" s="4"/>
      <c r="M124" s="4"/>
      <c r="N124" s="361"/>
      <c r="O124" s="92">
        <f t="shared" si="14"/>
        <v>74000</v>
      </c>
      <c r="P124" s="92">
        <f t="shared" si="15"/>
        <v>59947</v>
      </c>
      <c r="Q124" s="361">
        <f t="shared" si="16"/>
        <v>81.00945945945945</v>
      </c>
    </row>
    <row r="125" spans="2:17" x14ac:dyDescent="0.2">
      <c r="B125" s="18">
        <f t="shared" si="17"/>
        <v>18</v>
      </c>
      <c r="C125" s="6"/>
      <c r="D125" s="6"/>
      <c r="E125" s="6"/>
      <c r="F125" s="93"/>
      <c r="G125" s="5">
        <v>636</v>
      </c>
      <c r="H125" s="6" t="s">
        <v>126</v>
      </c>
      <c r="I125" s="7">
        <f>54700+800</f>
        <v>55500</v>
      </c>
      <c r="J125" s="7">
        <v>52042</v>
      </c>
      <c r="K125" s="361">
        <f>J125/I125*100</f>
        <v>93.769369369369372</v>
      </c>
      <c r="L125" s="7"/>
      <c r="M125" s="7"/>
      <c r="N125" s="361"/>
      <c r="O125" s="95">
        <f t="shared" si="14"/>
        <v>55500</v>
      </c>
      <c r="P125" s="95">
        <f t="shared" si="15"/>
        <v>52042</v>
      </c>
      <c r="Q125" s="361">
        <f t="shared" si="16"/>
        <v>93.769369369369372</v>
      </c>
    </row>
    <row r="126" spans="2:17" x14ac:dyDescent="0.2">
      <c r="B126" s="18">
        <f t="shared" si="17"/>
        <v>19</v>
      </c>
      <c r="C126" s="6"/>
      <c r="D126" s="6"/>
      <c r="E126" s="6"/>
      <c r="F126" s="93"/>
      <c r="G126" s="5">
        <v>637</v>
      </c>
      <c r="H126" s="6" t="s">
        <v>122</v>
      </c>
      <c r="I126" s="7">
        <v>18500</v>
      </c>
      <c r="J126" s="7">
        <v>7905</v>
      </c>
      <c r="K126" s="361">
        <f>J126/I126*100</f>
        <v>42.729729729729733</v>
      </c>
      <c r="L126" s="7"/>
      <c r="M126" s="7"/>
      <c r="N126" s="361"/>
      <c r="O126" s="95">
        <f t="shared" si="14"/>
        <v>18500</v>
      </c>
      <c r="P126" s="95">
        <f t="shared" si="15"/>
        <v>7905</v>
      </c>
      <c r="Q126" s="361">
        <f t="shared" si="16"/>
        <v>42.729729729729733</v>
      </c>
    </row>
    <row r="127" spans="2:17" x14ac:dyDescent="0.2">
      <c r="B127" s="18">
        <f t="shared" si="17"/>
        <v>20</v>
      </c>
      <c r="C127" s="3"/>
      <c r="D127" s="3"/>
      <c r="E127" s="3"/>
      <c r="F127" s="90" t="s">
        <v>73</v>
      </c>
      <c r="G127" s="2">
        <v>710</v>
      </c>
      <c r="H127" s="3" t="s">
        <v>175</v>
      </c>
      <c r="I127" s="4"/>
      <c r="J127" s="4"/>
      <c r="K127" s="361"/>
      <c r="L127" s="4">
        <f>L128</f>
        <v>583291</v>
      </c>
      <c r="M127" s="4">
        <f>M128</f>
        <v>187293</v>
      </c>
      <c r="N127" s="361">
        <f>M127/L127*100</f>
        <v>32.109701675493021</v>
      </c>
      <c r="O127" s="92">
        <f t="shared" si="14"/>
        <v>583291</v>
      </c>
      <c r="P127" s="92">
        <f t="shared" si="15"/>
        <v>187293</v>
      </c>
      <c r="Q127" s="361">
        <f t="shared" si="16"/>
        <v>32.109701675493021</v>
      </c>
    </row>
    <row r="128" spans="2:17" x14ac:dyDescent="0.2">
      <c r="B128" s="18">
        <f t="shared" si="17"/>
        <v>21</v>
      </c>
      <c r="C128" s="6"/>
      <c r="D128" s="6"/>
      <c r="E128" s="6"/>
      <c r="F128" s="93"/>
      <c r="G128" s="5">
        <v>711</v>
      </c>
      <c r="H128" s="6" t="s">
        <v>209</v>
      </c>
      <c r="I128" s="7"/>
      <c r="J128" s="7"/>
      <c r="K128" s="361"/>
      <c r="L128" s="7">
        <f>L129+L130</f>
        <v>583291</v>
      </c>
      <c r="M128" s="7">
        <f>M129+M130</f>
        <v>187293</v>
      </c>
      <c r="N128" s="361">
        <f>M128/L128*100</f>
        <v>32.109701675493021</v>
      </c>
      <c r="O128" s="95">
        <f t="shared" si="14"/>
        <v>583291</v>
      </c>
      <c r="P128" s="95">
        <f t="shared" si="15"/>
        <v>187293</v>
      </c>
      <c r="Q128" s="361">
        <f t="shared" si="16"/>
        <v>32.109701675493021</v>
      </c>
    </row>
    <row r="129" spans="2:17" x14ac:dyDescent="0.2">
      <c r="B129" s="18">
        <f t="shared" si="17"/>
        <v>22</v>
      </c>
      <c r="C129" s="67"/>
      <c r="D129" s="67"/>
      <c r="E129" s="9"/>
      <c r="F129" s="106"/>
      <c r="G129" s="106"/>
      <c r="H129" s="9" t="s">
        <v>336</v>
      </c>
      <c r="I129" s="10"/>
      <c r="J129" s="10"/>
      <c r="K129" s="361"/>
      <c r="L129" s="10">
        <f>623291-60000</f>
        <v>563291</v>
      </c>
      <c r="M129" s="10">
        <v>187293</v>
      </c>
      <c r="N129" s="361">
        <f>M129/L129*100</f>
        <v>33.249776758371787</v>
      </c>
      <c r="O129" s="108">
        <f t="shared" si="14"/>
        <v>563291</v>
      </c>
      <c r="P129" s="108">
        <f t="shared" si="15"/>
        <v>187293</v>
      </c>
      <c r="Q129" s="361">
        <f t="shared" si="16"/>
        <v>33.249776758371787</v>
      </c>
    </row>
    <row r="130" spans="2:17" x14ac:dyDescent="0.2">
      <c r="B130" s="18">
        <f t="shared" si="17"/>
        <v>23</v>
      </c>
      <c r="C130" s="67"/>
      <c r="D130" s="67"/>
      <c r="E130" s="9"/>
      <c r="F130" s="106"/>
      <c r="G130" s="106"/>
      <c r="H130" s="9" t="s">
        <v>538</v>
      </c>
      <c r="I130" s="10"/>
      <c r="J130" s="10"/>
      <c r="K130" s="361"/>
      <c r="L130" s="10">
        <v>20000</v>
      </c>
      <c r="M130" s="10"/>
      <c r="N130" s="361">
        <f>M130/L130*100</f>
        <v>0</v>
      </c>
      <c r="O130" s="108">
        <f t="shared" si="14"/>
        <v>20000</v>
      </c>
      <c r="P130" s="108">
        <f t="shared" si="15"/>
        <v>0</v>
      </c>
      <c r="Q130" s="361">
        <f t="shared" si="16"/>
        <v>0</v>
      </c>
    </row>
    <row r="131" spans="2:17" ht="15" x14ac:dyDescent="0.2">
      <c r="B131" s="18">
        <f t="shared" si="17"/>
        <v>24</v>
      </c>
      <c r="C131" s="82">
        <v>3</v>
      </c>
      <c r="D131" s="495" t="s">
        <v>149</v>
      </c>
      <c r="E131" s="496"/>
      <c r="F131" s="496"/>
      <c r="G131" s="496"/>
      <c r="H131" s="496"/>
      <c r="I131" s="83">
        <f>I132</f>
        <v>8146</v>
      </c>
      <c r="J131" s="83">
        <f>J132</f>
        <v>5898</v>
      </c>
      <c r="K131" s="361">
        <f t="shared" ref="K131:K140" si="18">J131/I131*100</f>
        <v>72.403633685244301</v>
      </c>
      <c r="L131" s="83"/>
      <c r="M131" s="83"/>
      <c r="N131" s="361"/>
      <c r="O131" s="99">
        <f t="shared" si="14"/>
        <v>8146</v>
      </c>
      <c r="P131" s="99">
        <f t="shared" si="15"/>
        <v>5898</v>
      </c>
      <c r="Q131" s="361">
        <f t="shared" si="16"/>
        <v>72.403633685244301</v>
      </c>
    </row>
    <row r="132" spans="2:17" x14ac:dyDescent="0.2">
      <c r="B132" s="18">
        <f t="shared" si="17"/>
        <v>25</v>
      </c>
      <c r="C132" s="3"/>
      <c r="D132" s="3"/>
      <c r="E132" s="3"/>
      <c r="F132" s="90"/>
      <c r="G132" s="2">
        <v>630</v>
      </c>
      <c r="H132" s="3" t="s">
        <v>121</v>
      </c>
      <c r="I132" s="4">
        <f>I134+I133</f>
        <v>8146</v>
      </c>
      <c r="J132" s="4">
        <f>J134+J133</f>
        <v>5898</v>
      </c>
      <c r="K132" s="361">
        <f t="shared" si="18"/>
        <v>72.403633685244301</v>
      </c>
      <c r="L132" s="4"/>
      <c r="M132" s="4"/>
      <c r="N132" s="361"/>
      <c r="O132" s="92">
        <f t="shared" si="14"/>
        <v>8146</v>
      </c>
      <c r="P132" s="92">
        <f t="shared" si="15"/>
        <v>5898</v>
      </c>
      <c r="Q132" s="361">
        <f t="shared" si="16"/>
        <v>72.403633685244301</v>
      </c>
    </row>
    <row r="133" spans="2:17" x14ac:dyDescent="0.2">
      <c r="B133" s="18">
        <f t="shared" si="17"/>
        <v>26</v>
      </c>
      <c r="C133" s="6"/>
      <c r="D133" s="6"/>
      <c r="E133" s="6"/>
      <c r="F133" s="90" t="s">
        <v>73</v>
      </c>
      <c r="G133" s="5">
        <v>633</v>
      </c>
      <c r="H133" s="6" t="s">
        <v>125</v>
      </c>
      <c r="I133" s="7">
        <f>1000+146</f>
        <v>1146</v>
      </c>
      <c r="J133" s="7">
        <v>146</v>
      </c>
      <c r="K133" s="361">
        <f t="shared" si="18"/>
        <v>12.739965095986038</v>
      </c>
      <c r="L133" s="7"/>
      <c r="M133" s="7"/>
      <c r="N133" s="361"/>
      <c r="O133" s="95">
        <f t="shared" si="14"/>
        <v>1146</v>
      </c>
      <c r="P133" s="95">
        <f t="shared" si="15"/>
        <v>146</v>
      </c>
      <c r="Q133" s="361">
        <f t="shared" si="16"/>
        <v>12.739965095986038</v>
      </c>
    </row>
    <row r="134" spans="2:17" x14ac:dyDescent="0.2">
      <c r="B134" s="18">
        <f t="shared" si="17"/>
        <v>27</v>
      </c>
      <c r="C134" s="6"/>
      <c r="D134" s="6"/>
      <c r="E134" s="6"/>
      <c r="F134" s="90" t="s">
        <v>417</v>
      </c>
      <c r="G134" s="5">
        <v>637</v>
      </c>
      <c r="H134" s="6" t="s">
        <v>122</v>
      </c>
      <c r="I134" s="7">
        <v>7000</v>
      </c>
      <c r="J134" s="7">
        <v>5752</v>
      </c>
      <c r="K134" s="361">
        <f t="shared" si="18"/>
        <v>82.171428571428578</v>
      </c>
      <c r="L134" s="7"/>
      <c r="M134" s="7"/>
      <c r="N134" s="361"/>
      <c r="O134" s="95">
        <f t="shared" si="14"/>
        <v>7000</v>
      </c>
      <c r="P134" s="95">
        <f t="shared" si="15"/>
        <v>5752</v>
      </c>
      <c r="Q134" s="361">
        <f t="shared" si="16"/>
        <v>82.171428571428578</v>
      </c>
    </row>
    <row r="135" spans="2:17" ht="15" x14ac:dyDescent="0.2">
      <c r="B135" s="18">
        <f t="shared" si="17"/>
        <v>28</v>
      </c>
      <c r="C135" s="82">
        <v>4</v>
      </c>
      <c r="D135" s="495" t="s">
        <v>191</v>
      </c>
      <c r="E135" s="496"/>
      <c r="F135" s="496"/>
      <c r="G135" s="496"/>
      <c r="H135" s="496"/>
      <c r="I135" s="83">
        <f>I136</f>
        <v>299000</v>
      </c>
      <c r="J135" s="83">
        <f>J136</f>
        <v>194462</v>
      </c>
      <c r="K135" s="361">
        <f t="shared" si="18"/>
        <v>65.03745819397993</v>
      </c>
      <c r="L135" s="83">
        <f>L141</f>
        <v>3024778</v>
      </c>
      <c r="M135" s="83">
        <f>M141</f>
        <v>842091</v>
      </c>
      <c r="N135" s="361">
        <f>M135/L135*100</f>
        <v>27.839762124691465</v>
      </c>
      <c r="O135" s="99">
        <f t="shared" si="14"/>
        <v>3323778</v>
      </c>
      <c r="P135" s="99">
        <f t="shared" si="15"/>
        <v>1036553</v>
      </c>
      <c r="Q135" s="361">
        <f t="shared" si="16"/>
        <v>31.18598775249129</v>
      </c>
    </row>
    <row r="136" spans="2:17" x14ac:dyDescent="0.2">
      <c r="B136" s="18">
        <f t="shared" si="17"/>
        <v>29</v>
      </c>
      <c r="C136" s="3"/>
      <c r="D136" s="3"/>
      <c r="E136" s="3"/>
      <c r="F136" s="90" t="s">
        <v>153</v>
      </c>
      <c r="G136" s="2">
        <v>630</v>
      </c>
      <c r="H136" s="3" t="s">
        <v>121</v>
      </c>
      <c r="I136" s="4">
        <f>SUM(I137:I140)</f>
        <v>299000</v>
      </c>
      <c r="J136" s="4">
        <f>SUM(J137:J140)</f>
        <v>194462</v>
      </c>
      <c r="K136" s="361">
        <f t="shared" si="18"/>
        <v>65.03745819397993</v>
      </c>
      <c r="L136" s="4"/>
      <c r="M136" s="4"/>
      <c r="N136" s="361"/>
      <c r="O136" s="92">
        <f t="shared" si="14"/>
        <v>299000</v>
      </c>
      <c r="P136" s="92">
        <f t="shared" si="15"/>
        <v>194462</v>
      </c>
      <c r="Q136" s="361">
        <f t="shared" si="16"/>
        <v>65.03745819397993</v>
      </c>
    </row>
    <row r="137" spans="2:17" x14ac:dyDescent="0.2">
      <c r="B137" s="18">
        <f t="shared" si="17"/>
        <v>30</v>
      </c>
      <c r="C137" s="6"/>
      <c r="D137" s="6"/>
      <c r="E137" s="6"/>
      <c r="F137" s="93"/>
      <c r="G137" s="5">
        <v>632</v>
      </c>
      <c r="H137" s="6" t="s">
        <v>134</v>
      </c>
      <c r="I137" s="7">
        <v>98000</v>
      </c>
      <c r="J137" s="7">
        <v>54273</v>
      </c>
      <c r="K137" s="361">
        <f t="shared" si="18"/>
        <v>55.380612244897961</v>
      </c>
      <c r="L137" s="7"/>
      <c r="M137" s="7"/>
      <c r="N137" s="361"/>
      <c r="O137" s="95">
        <f t="shared" si="14"/>
        <v>98000</v>
      </c>
      <c r="P137" s="95">
        <f t="shared" si="15"/>
        <v>54273</v>
      </c>
      <c r="Q137" s="361">
        <f t="shared" si="16"/>
        <v>55.380612244897961</v>
      </c>
    </row>
    <row r="138" spans="2:17" x14ac:dyDescent="0.2">
      <c r="B138" s="18">
        <f t="shared" si="17"/>
        <v>31</v>
      </c>
      <c r="C138" s="6"/>
      <c r="D138" s="6"/>
      <c r="E138" s="6"/>
      <c r="F138" s="93"/>
      <c r="G138" s="5">
        <v>633</v>
      </c>
      <c r="H138" s="6" t="s">
        <v>125</v>
      </c>
      <c r="I138" s="7">
        <v>13000</v>
      </c>
      <c r="J138" s="7">
        <v>5981</v>
      </c>
      <c r="K138" s="361">
        <f t="shared" si="18"/>
        <v>46.007692307692302</v>
      </c>
      <c r="L138" s="7"/>
      <c r="M138" s="7"/>
      <c r="N138" s="361"/>
      <c r="O138" s="95">
        <f t="shared" si="14"/>
        <v>13000</v>
      </c>
      <c r="P138" s="95">
        <f t="shared" si="15"/>
        <v>5981</v>
      </c>
      <c r="Q138" s="361">
        <f t="shared" si="16"/>
        <v>46.007692307692302</v>
      </c>
    </row>
    <row r="139" spans="2:17" x14ac:dyDescent="0.2">
      <c r="B139" s="18">
        <f t="shared" si="17"/>
        <v>32</v>
      </c>
      <c r="C139" s="6"/>
      <c r="D139" s="6"/>
      <c r="E139" s="6"/>
      <c r="F139" s="93"/>
      <c r="G139" s="5">
        <v>635</v>
      </c>
      <c r="H139" s="6" t="s">
        <v>133</v>
      </c>
      <c r="I139" s="7">
        <f>95000+10000</f>
        <v>105000</v>
      </c>
      <c r="J139" s="7">
        <v>70748</v>
      </c>
      <c r="K139" s="361">
        <f t="shared" si="18"/>
        <v>67.379047619047611</v>
      </c>
      <c r="L139" s="7"/>
      <c r="M139" s="7"/>
      <c r="N139" s="361"/>
      <c r="O139" s="95">
        <f t="shared" si="14"/>
        <v>105000</v>
      </c>
      <c r="P139" s="95">
        <f t="shared" si="15"/>
        <v>70748</v>
      </c>
      <c r="Q139" s="361">
        <f t="shared" si="16"/>
        <v>67.379047619047611</v>
      </c>
    </row>
    <row r="140" spans="2:17" x14ac:dyDescent="0.2">
      <c r="B140" s="18">
        <f t="shared" si="17"/>
        <v>33</v>
      </c>
      <c r="C140" s="6"/>
      <c r="D140" s="6"/>
      <c r="E140" s="6"/>
      <c r="F140" s="93"/>
      <c r="G140" s="5">
        <v>637</v>
      </c>
      <c r="H140" s="6" t="s">
        <v>122</v>
      </c>
      <c r="I140" s="7">
        <f>63000+20000</f>
        <v>83000</v>
      </c>
      <c r="J140" s="7">
        <v>63460</v>
      </c>
      <c r="K140" s="361">
        <f t="shared" si="18"/>
        <v>76.4578313253012</v>
      </c>
      <c r="L140" s="7"/>
      <c r="M140" s="7"/>
      <c r="N140" s="361"/>
      <c r="O140" s="95">
        <f t="shared" ref="O140:O171" si="19">I140+L140</f>
        <v>83000</v>
      </c>
      <c r="P140" s="95">
        <f t="shared" ref="P140:P171" si="20">J140+M140</f>
        <v>63460</v>
      </c>
      <c r="Q140" s="361">
        <f t="shared" ref="Q140:Q171" si="21">P140/O140*100</f>
        <v>76.4578313253012</v>
      </c>
    </row>
    <row r="141" spans="2:17" x14ac:dyDescent="0.2">
      <c r="B141" s="18">
        <f t="shared" ref="B141:B172" si="22">B140+1</f>
        <v>34</v>
      </c>
      <c r="C141" s="3"/>
      <c r="D141" s="3"/>
      <c r="E141" s="3"/>
      <c r="F141" s="90" t="s">
        <v>192</v>
      </c>
      <c r="G141" s="2">
        <v>710</v>
      </c>
      <c r="H141" s="3" t="s">
        <v>175</v>
      </c>
      <c r="I141" s="10"/>
      <c r="J141" s="10"/>
      <c r="K141" s="361"/>
      <c r="L141" s="4">
        <f>L147+L142</f>
        <v>3024778</v>
      </c>
      <c r="M141" s="4">
        <f>M147+M142</f>
        <v>842091</v>
      </c>
      <c r="N141" s="361">
        <f t="shared" ref="N141:N158" si="23">M141/L141*100</f>
        <v>27.839762124691465</v>
      </c>
      <c r="O141" s="92">
        <f t="shared" si="19"/>
        <v>3024778</v>
      </c>
      <c r="P141" s="92">
        <f t="shared" si="20"/>
        <v>842091</v>
      </c>
      <c r="Q141" s="361">
        <f t="shared" si="21"/>
        <v>27.839762124691465</v>
      </c>
    </row>
    <row r="142" spans="2:17" x14ac:dyDescent="0.2">
      <c r="B142" s="18">
        <f t="shared" si="22"/>
        <v>35</v>
      </c>
      <c r="C142" s="6"/>
      <c r="D142" s="6"/>
      <c r="E142" s="6"/>
      <c r="F142" s="93"/>
      <c r="G142" s="5">
        <v>716</v>
      </c>
      <c r="H142" s="6" t="s">
        <v>215</v>
      </c>
      <c r="I142" s="10"/>
      <c r="J142" s="10"/>
      <c r="K142" s="361"/>
      <c r="L142" s="7">
        <f>SUM(L143:L146)</f>
        <v>217220</v>
      </c>
      <c r="M142" s="7">
        <f>SUM(M143:M146)</f>
        <v>186502</v>
      </c>
      <c r="N142" s="361">
        <f t="shared" si="23"/>
        <v>85.858576558327954</v>
      </c>
      <c r="O142" s="95">
        <f t="shared" si="19"/>
        <v>217220</v>
      </c>
      <c r="P142" s="95">
        <f t="shared" si="20"/>
        <v>186502</v>
      </c>
      <c r="Q142" s="361">
        <f t="shared" si="21"/>
        <v>85.858576558327954</v>
      </c>
    </row>
    <row r="143" spans="2:17" x14ac:dyDescent="0.2">
      <c r="B143" s="18">
        <f t="shared" si="22"/>
        <v>36</v>
      </c>
      <c r="C143" s="67"/>
      <c r="D143" s="67"/>
      <c r="E143" s="9"/>
      <c r="F143" s="106"/>
      <c r="G143" s="106"/>
      <c r="H143" s="9" t="s">
        <v>404</v>
      </c>
      <c r="I143" s="10"/>
      <c r="J143" s="10"/>
      <c r="K143" s="361"/>
      <c r="L143" s="10">
        <v>11640</v>
      </c>
      <c r="M143" s="10">
        <v>11640</v>
      </c>
      <c r="N143" s="361">
        <f t="shared" si="23"/>
        <v>100</v>
      </c>
      <c r="O143" s="108">
        <f t="shared" si="19"/>
        <v>11640</v>
      </c>
      <c r="P143" s="108">
        <f t="shared" si="20"/>
        <v>11640</v>
      </c>
      <c r="Q143" s="361">
        <f t="shared" si="21"/>
        <v>100</v>
      </c>
    </row>
    <row r="144" spans="2:17" x14ac:dyDescent="0.2">
      <c r="B144" s="18">
        <f t="shared" si="22"/>
        <v>37</v>
      </c>
      <c r="C144" s="67"/>
      <c r="D144" s="67"/>
      <c r="E144" s="9"/>
      <c r="F144" s="106"/>
      <c r="G144" s="106"/>
      <c r="H144" s="9" t="s">
        <v>677</v>
      </c>
      <c r="I144" s="10"/>
      <c r="J144" s="10"/>
      <c r="K144" s="361"/>
      <c r="L144" s="10">
        <v>3100</v>
      </c>
      <c r="M144" s="10">
        <v>1584</v>
      </c>
      <c r="N144" s="361">
        <f t="shared" si="23"/>
        <v>51.096774193548391</v>
      </c>
      <c r="O144" s="108">
        <f t="shared" si="19"/>
        <v>3100</v>
      </c>
      <c r="P144" s="108">
        <f t="shared" si="20"/>
        <v>1584</v>
      </c>
      <c r="Q144" s="361">
        <f t="shared" si="21"/>
        <v>51.096774193548391</v>
      </c>
    </row>
    <row r="145" spans="2:17" x14ac:dyDescent="0.2">
      <c r="B145" s="18">
        <f t="shared" si="22"/>
        <v>38</v>
      </c>
      <c r="C145" s="67"/>
      <c r="D145" s="67"/>
      <c r="E145" s="9"/>
      <c r="F145" s="106"/>
      <c r="G145" s="106"/>
      <c r="H145" s="9" t="s">
        <v>512</v>
      </c>
      <c r="I145" s="10"/>
      <c r="J145" s="10"/>
      <c r="K145" s="361"/>
      <c r="L145" s="10">
        <v>27480</v>
      </c>
      <c r="M145" s="10">
        <v>27120</v>
      </c>
      <c r="N145" s="361">
        <f t="shared" si="23"/>
        <v>98.689956331877724</v>
      </c>
      <c r="O145" s="108">
        <f t="shared" si="19"/>
        <v>27480</v>
      </c>
      <c r="P145" s="108">
        <f t="shared" si="20"/>
        <v>27120</v>
      </c>
      <c r="Q145" s="361">
        <f t="shared" si="21"/>
        <v>98.689956331877724</v>
      </c>
    </row>
    <row r="146" spans="2:17" x14ac:dyDescent="0.2">
      <c r="B146" s="18">
        <f t="shared" si="22"/>
        <v>39</v>
      </c>
      <c r="C146" s="67"/>
      <c r="D146" s="67"/>
      <c r="E146" s="9"/>
      <c r="F146" s="106"/>
      <c r="G146" s="106"/>
      <c r="H146" s="9" t="s">
        <v>468</v>
      </c>
      <c r="I146" s="10"/>
      <c r="J146" s="10"/>
      <c r="K146" s="361"/>
      <c r="L146" s="10">
        <f>125000+50000</f>
        <v>175000</v>
      </c>
      <c r="M146" s="10">
        <v>146158</v>
      </c>
      <c r="N146" s="361">
        <f t="shared" si="23"/>
        <v>83.518857142857144</v>
      </c>
      <c r="O146" s="108">
        <f t="shared" si="19"/>
        <v>175000</v>
      </c>
      <c r="P146" s="108">
        <f t="shared" si="20"/>
        <v>146158</v>
      </c>
      <c r="Q146" s="361">
        <f t="shared" si="21"/>
        <v>83.518857142857144</v>
      </c>
    </row>
    <row r="147" spans="2:17" x14ac:dyDescent="0.2">
      <c r="B147" s="18">
        <f t="shared" si="22"/>
        <v>40</v>
      </c>
      <c r="C147" s="6"/>
      <c r="D147" s="6"/>
      <c r="E147" s="6"/>
      <c r="F147" s="93"/>
      <c r="G147" s="5">
        <v>717</v>
      </c>
      <c r="H147" s="6" t="s">
        <v>182</v>
      </c>
      <c r="I147" s="10"/>
      <c r="J147" s="10"/>
      <c r="K147" s="361"/>
      <c r="L147" s="7">
        <f>SUM(L148:L157)</f>
        <v>2807558</v>
      </c>
      <c r="M147" s="7">
        <f>SUM(M148:M157)</f>
        <v>655589</v>
      </c>
      <c r="N147" s="361">
        <f t="shared" si="23"/>
        <v>23.350862208367555</v>
      </c>
      <c r="O147" s="95">
        <f t="shared" si="19"/>
        <v>2807558</v>
      </c>
      <c r="P147" s="95">
        <f t="shared" si="20"/>
        <v>655589</v>
      </c>
      <c r="Q147" s="361">
        <f t="shared" si="21"/>
        <v>23.350862208367555</v>
      </c>
    </row>
    <row r="148" spans="2:17" x14ac:dyDescent="0.2">
      <c r="B148" s="18">
        <f t="shared" si="22"/>
        <v>41</v>
      </c>
      <c r="C148" s="67"/>
      <c r="D148" s="67"/>
      <c r="E148" s="9"/>
      <c r="F148" s="106"/>
      <c r="G148" s="106"/>
      <c r="H148" s="9" t="s">
        <v>424</v>
      </c>
      <c r="I148" s="10"/>
      <c r="J148" s="10"/>
      <c r="K148" s="361"/>
      <c r="L148" s="10">
        <f>53625-2693</f>
        <v>50932</v>
      </c>
      <c r="M148" s="10">
        <v>50931</v>
      </c>
      <c r="N148" s="361">
        <f t="shared" si="23"/>
        <v>99.998036597816693</v>
      </c>
      <c r="O148" s="108">
        <f t="shared" si="19"/>
        <v>50932</v>
      </c>
      <c r="P148" s="108">
        <f t="shared" si="20"/>
        <v>50931</v>
      </c>
      <c r="Q148" s="361">
        <f t="shared" si="21"/>
        <v>99.998036597816693</v>
      </c>
    </row>
    <row r="149" spans="2:17" x14ac:dyDescent="0.2">
      <c r="B149" s="18">
        <f t="shared" si="22"/>
        <v>42</v>
      </c>
      <c r="C149" s="67"/>
      <c r="D149" s="67"/>
      <c r="E149" s="9"/>
      <c r="F149" s="106"/>
      <c r="G149" s="106"/>
      <c r="H149" s="9" t="s">
        <v>425</v>
      </c>
      <c r="I149" s="10"/>
      <c r="J149" s="10"/>
      <c r="K149" s="361"/>
      <c r="L149" s="10">
        <f>237945+20000+15500+25000-2+800</f>
        <v>299243</v>
      </c>
      <c r="M149" s="10">
        <v>298404</v>
      </c>
      <c r="N149" s="361">
        <f t="shared" si="23"/>
        <v>99.71962585590974</v>
      </c>
      <c r="O149" s="108">
        <f t="shared" si="19"/>
        <v>299243</v>
      </c>
      <c r="P149" s="108">
        <f t="shared" si="20"/>
        <v>298404</v>
      </c>
      <c r="Q149" s="361">
        <f t="shared" si="21"/>
        <v>99.71962585590974</v>
      </c>
    </row>
    <row r="150" spans="2:17" x14ac:dyDescent="0.2">
      <c r="B150" s="18">
        <f t="shared" si="22"/>
        <v>43</v>
      </c>
      <c r="C150" s="67"/>
      <c r="D150" s="67"/>
      <c r="E150" s="9"/>
      <c r="F150" s="106"/>
      <c r="G150" s="106"/>
      <c r="H150" s="9" t="s">
        <v>404</v>
      </c>
      <c r="I150" s="10"/>
      <c r="J150" s="10"/>
      <c r="K150" s="361"/>
      <c r="L150" s="10">
        <v>284000</v>
      </c>
      <c r="M150" s="10">
        <v>3600</v>
      </c>
      <c r="N150" s="361">
        <f t="shared" si="23"/>
        <v>1.267605633802817</v>
      </c>
      <c r="O150" s="108">
        <f t="shared" si="19"/>
        <v>284000</v>
      </c>
      <c r="P150" s="108">
        <f t="shared" si="20"/>
        <v>3600</v>
      </c>
      <c r="Q150" s="361">
        <f t="shared" si="21"/>
        <v>1.267605633802817</v>
      </c>
    </row>
    <row r="151" spans="2:17" x14ac:dyDescent="0.2">
      <c r="B151" s="18">
        <f t="shared" si="22"/>
        <v>44</v>
      </c>
      <c r="C151" s="67"/>
      <c r="D151" s="67"/>
      <c r="E151" s="9"/>
      <c r="F151" s="106"/>
      <c r="G151" s="106"/>
      <c r="H151" s="9" t="s">
        <v>690</v>
      </c>
      <c r="I151" s="10"/>
      <c r="J151" s="10"/>
      <c r="K151" s="361"/>
      <c r="L151" s="10">
        <v>13500</v>
      </c>
      <c r="M151" s="10"/>
      <c r="N151" s="361">
        <f t="shared" si="23"/>
        <v>0</v>
      </c>
      <c r="O151" s="108">
        <f t="shared" si="19"/>
        <v>13500</v>
      </c>
      <c r="P151" s="108">
        <f t="shared" si="20"/>
        <v>0</v>
      </c>
      <c r="Q151" s="361">
        <f t="shared" si="21"/>
        <v>0</v>
      </c>
    </row>
    <row r="152" spans="2:17" x14ac:dyDescent="0.2">
      <c r="B152" s="18">
        <f t="shared" si="22"/>
        <v>45</v>
      </c>
      <c r="C152" s="67"/>
      <c r="D152" s="67"/>
      <c r="E152" s="9"/>
      <c r="F152" s="106"/>
      <c r="G152" s="106"/>
      <c r="H152" s="9" t="s">
        <v>612</v>
      </c>
      <c r="I152" s="10"/>
      <c r="J152" s="10"/>
      <c r="K152" s="361"/>
      <c r="L152" s="10">
        <f>210000+14563+9464</f>
        <v>234027</v>
      </c>
      <c r="M152" s="10">
        <v>220060</v>
      </c>
      <c r="N152" s="361">
        <f t="shared" si="23"/>
        <v>94.031885209826214</v>
      </c>
      <c r="O152" s="108">
        <f t="shared" si="19"/>
        <v>234027</v>
      </c>
      <c r="P152" s="108">
        <f t="shared" si="20"/>
        <v>220060</v>
      </c>
      <c r="Q152" s="361">
        <f t="shared" si="21"/>
        <v>94.031885209826214</v>
      </c>
    </row>
    <row r="153" spans="2:17" s="22" customFormat="1" x14ac:dyDescent="0.2">
      <c r="B153" s="18">
        <f t="shared" si="22"/>
        <v>46</v>
      </c>
      <c r="C153" s="67"/>
      <c r="D153" s="67"/>
      <c r="E153" s="9"/>
      <c r="F153" s="106"/>
      <c r="G153" s="106"/>
      <c r="H153" s="9" t="s">
        <v>691</v>
      </c>
      <c r="I153" s="10"/>
      <c r="J153" s="10"/>
      <c r="K153" s="361"/>
      <c r="L153" s="10">
        <v>7500</v>
      </c>
      <c r="M153" s="10"/>
      <c r="N153" s="361">
        <f t="shared" si="23"/>
        <v>0</v>
      </c>
      <c r="O153" s="108">
        <f t="shared" si="19"/>
        <v>7500</v>
      </c>
      <c r="P153" s="108">
        <f t="shared" si="20"/>
        <v>0</v>
      </c>
      <c r="Q153" s="361">
        <f t="shared" si="21"/>
        <v>0</v>
      </c>
    </row>
    <row r="154" spans="2:17" x14ac:dyDescent="0.2">
      <c r="B154" s="18">
        <f t="shared" si="22"/>
        <v>47</v>
      </c>
      <c r="C154" s="67"/>
      <c r="D154" s="67"/>
      <c r="E154" s="9"/>
      <c r="F154" s="106"/>
      <c r="G154" s="106"/>
      <c r="H154" s="9" t="s">
        <v>678</v>
      </c>
      <c r="I154" s="10"/>
      <c r="J154" s="10"/>
      <c r="K154" s="361"/>
      <c r="L154" s="10">
        <f>40600-11000-8644</f>
        <v>20956</v>
      </c>
      <c r="M154" s="10">
        <v>20956</v>
      </c>
      <c r="N154" s="361">
        <f t="shared" si="23"/>
        <v>100</v>
      </c>
      <c r="O154" s="108">
        <f t="shared" si="19"/>
        <v>20956</v>
      </c>
      <c r="P154" s="108">
        <f t="shared" si="20"/>
        <v>20956</v>
      </c>
      <c r="Q154" s="361">
        <f t="shared" si="21"/>
        <v>100</v>
      </c>
    </row>
    <row r="155" spans="2:17" x14ac:dyDescent="0.2">
      <c r="B155" s="18">
        <f t="shared" si="22"/>
        <v>48</v>
      </c>
      <c r="C155" s="67"/>
      <c r="D155" s="67"/>
      <c r="E155" s="9"/>
      <c r="F155" s="106"/>
      <c r="G155" s="106"/>
      <c r="H155" s="9" t="s">
        <v>695</v>
      </c>
      <c r="I155" s="10"/>
      <c r="J155" s="10"/>
      <c r="K155" s="361"/>
      <c r="L155" s="10">
        <v>11000</v>
      </c>
      <c r="M155" s="10">
        <v>10812</v>
      </c>
      <c r="N155" s="361">
        <f t="shared" si="23"/>
        <v>98.290909090909096</v>
      </c>
      <c r="O155" s="108">
        <f t="shared" si="19"/>
        <v>11000</v>
      </c>
      <c r="P155" s="108">
        <f t="shared" si="20"/>
        <v>10812</v>
      </c>
      <c r="Q155" s="361">
        <f t="shared" si="21"/>
        <v>98.290909090909096</v>
      </c>
    </row>
    <row r="156" spans="2:17" x14ac:dyDescent="0.2">
      <c r="B156" s="18">
        <f t="shared" si="22"/>
        <v>49</v>
      </c>
      <c r="C156" s="67"/>
      <c r="D156" s="67"/>
      <c r="E156" s="9"/>
      <c r="F156" s="106"/>
      <c r="G156" s="106"/>
      <c r="H156" s="9" t="s">
        <v>681</v>
      </c>
      <c r="I156" s="10"/>
      <c r="J156" s="10"/>
      <c r="K156" s="361"/>
      <c r="L156" s="10">
        <f>38500-2100</f>
        <v>36400</v>
      </c>
      <c r="M156" s="10">
        <v>36394</v>
      </c>
      <c r="N156" s="361">
        <f t="shared" si="23"/>
        <v>99.983516483516482</v>
      </c>
      <c r="O156" s="108">
        <f t="shared" si="19"/>
        <v>36400</v>
      </c>
      <c r="P156" s="108">
        <f t="shared" si="20"/>
        <v>36394</v>
      </c>
      <c r="Q156" s="361">
        <f t="shared" si="21"/>
        <v>99.983516483516482</v>
      </c>
    </row>
    <row r="157" spans="2:17" x14ac:dyDescent="0.2">
      <c r="B157" s="18">
        <f t="shared" si="22"/>
        <v>50</v>
      </c>
      <c r="C157" s="67"/>
      <c r="D157" s="67"/>
      <c r="E157" s="9"/>
      <c r="F157" s="106"/>
      <c r="G157" s="106"/>
      <c r="H157" s="9" t="s">
        <v>479</v>
      </c>
      <c r="I157" s="10"/>
      <c r="J157" s="10"/>
      <c r="K157" s="361"/>
      <c r="L157" s="10">
        <f>1900000-50000</f>
        <v>1850000</v>
      </c>
      <c r="M157" s="10">
        <v>14432</v>
      </c>
      <c r="N157" s="361">
        <f t="shared" si="23"/>
        <v>0.78010810810810804</v>
      </c>
      <c r="O157" s="108">
        <f t="shared" si="19"/>
        <v>1850000</v>
      </c>
      <c r="P157" s="108">
        <f t="shared" si="20"/>
        <v>14432</v>
      </c>
      <c r="Q157" s="361">
        <f t="shared" si="21"/>
        <v>0.78010810810810804</v>
      </c>
    </row>
    <row r="158" spans="2:17" ht="15" x14ac:dyDescent="0.2">
      <c r="B158" s="18">
        <f t="shared" si="22"/>
        <v>51</v>
      </c>
      <c r="C158" s="82">
        <v>5</v>
      </c>
      <c r="D158" s="495" t="s">
        <v>152</v>
      </c>
      <c r="E158" s="496"/>
      <c r="F158" s="496"/>
      <c r="G158" s="496"/>
      <c r="H158" s="496"/>
      <c r="I158" s="83">
        <f>I159+I160+I161+I166+I168+I169</f>
        <v>6252361</v>
      </c>
      <c r="J158" s="83">
        <f>J159+J160+J161+J166+J168+J169</f>
        <v>5888935</v>
      </c>
      <c r="K158" s="361">
        <f t="shared" ref="K158:K169" si="24">J158/I158*100</f>
        <v>94.187379775416034</v>
      </c>
      <c r="L158" s="83">
        <f>L170</f>
        <v>78460</v>
      </c>
      <c r="M158" s="83">
        <f>M170</f>
        <v>33611</v>
      </c>
      <c r="N158" s="361">
        <f t="shared" si="23"/>
        <v>42.838388988019375</v>
      </c>
      <c r="O158" s="99">
        <f t="shared" si="19"/>
        <v>6330821</v>
      </c>
      <c r="P158" s="99">
        <f t="shared" si="20"/>
        <v>5922546</v>
      </c>
      <c r="Q158" s="361">
        <f t="shared" si="21"/>
        <v>93.55099441288894</v>
      </c>
    </row>
    <row r="159" spans="2:17" x14ac:dyDescent="0.2">
      <c r="B159" s="18">
        <f t="shared" si="22"/>
        <v>52</v>
      </c>
      <c r="C159" s="3"/>
      <c r="D159" s="3"/>
      <c r="E159" s="3"/>
      <c r="F159" s="90" t="s">
        <v>73</v>
      </c>
      <c r="G159" s="2">
        <v>610</v>
      </c>
      <c r="H159" s="3" t="s">
        <v>131</v>
      </c>
      <c r="I159" s="4">
        <f>3400000-2200</f>
        <v>3397800</v>
      </c>
      <c r="J159" s="4">
        <v>3305645</v>
      </c>
      <c r="K159" s="361">
        <f t="shared" si="24"/>
        <v>97.287803873094362</v>
      </c>
      <c r="L159" s="4"/>
      <c r="M159" s="4"/>
      <c r="N159" s="361"/>
      <c r="O159" s="92">
        <f t="shared" si="19"/>
        <v>3397800</v>
      </c>
      <c r="P159" s="92">
        <f t="shared" si="20"/>
        <v>3305645</v>
      </c>
      <c r="Q159" s="361">
        <f t="shared" si="21"/>
        <v>97.287803873094362</v>
      </c>
    </row>
    <row r="160" spans="2:17" x14ac:dyDescent="0.2">
      <c r="B160" s="18">
        <f t="shared" si="22"/>
        <v>53</v>
      </c>
      <c r="C160" s="3"/>
      <c r="D160" s="3"/>
      <c r="E160" s="3"/>
      <c r="F160" s="90" t="s">
        <v>73</v>
      </c>
      <c r="G160" s="2">
        <v>620</v>
      </c>
      <c r="H160" s="3" t="s">
        <v>124</v>
      </c>
      <c r="I160" s="4">
        <f>1325000-2900</f>
        <v>1322100</v>
      </c>
      <c r="J160" s="4">
        <v>1311977</v>
      </c>
      <c r="K160" s="361">
        <f t="shared" si="24"/>
        <v>99.234324181226839</v>
      </c>
      <c r="L160" s="4"/>
      <c r="M160" s="4"/>
      <c r="N160" s="361"/>
      <c r="O160" s="92">
        <f t="shared" si="19"/>
        <v>1322100</v>
      </c>
      <c r="P160" s="92">
        <f t="shared" si="20"/>
        <v>1311977</v>
      </c>
      <c r="Q160" s="361">
        <f t="shared" si="21"/>
        <v>99.234324181226839</v>
      </c>
    </row>
    <row r="161" spans="2:17" x14ac:dyDescent="0.2">
      <c r="B161" s="18">
        <f t="shared" si="22"/>
        <v>54</v>
      </c>
      <c r="C161" s="3"/>
      <c r="D161" s="3"/>
      <c r="E161" s="3"/>
      <c r="F161" s="90" t="s">
        <v>73</v>
      </c>
      <c r="G161" s="2">
        <v>630</v>
      </c>
      <c r="H161" s="3" t="s">
        <v>121</v>
      </c>
      <c r="I161" s="4">
        <f>I162+I163+I164+I165</f>
        <v>822811</v>
      </c>
      <c r="J161" s="4">
        <f>J162+J163+J164+J165</f>
        <v>679834</v>
      </c>
      <c r="K161" s="361">
        <f t="shared" si="24"/>
        <v>82.62334849679938</v>
      </c>
      <c r="L161" s="4"/>
      <c r="M161" s="4"/>
      <c r="N161" s="361"/>
      <c r="O161" s="92">
        <f t="shared" si="19"/>
        <v>822811</v>
      </c>
      <c r="P161" s="92">
        <f t="shared" si="20"/>
        <v>679834</v>
      </c>
      <c r="Q161" s="361">
        <f t="shared" si="21"/>
        <v>82.62334849679938</v>
      </c>
    </row>
    <row r="162" spans="2:17" x14ac:dyDescent="0.2">
      <c r="B162" s="18">
        <f t="shared" si="22"/>
        <v>55</v>
      </c>
      <c r="C162" s="6"/>
      <c r="D162" s="6"/>
      <c r="E162" s="6"/>
      <c r="F162" s="93"/>
      <c r="G162" s="5">
        <v>632</v>
      </c>
      <c r="H162" s="6" t="s">
        <v>134</v>
      </c>
      <c r="I162" s="7">
        <f>525000-65000-16000-20000-22000-5000-4919-16500-27800</f>
        <v>347781</v>
      </c>
      <c r="J162" s="7">
        <v>233671</v>
      </c>
      <c r="K162" s="361">
        <f t="shared" si="24"/>
        <v>67.189121889924991</v>
      </c>
      <c r="L162" s="7"/>
      <c r="M162" s="7"/>
      <c r="N162" s="361"/>
      <c r="O162" s="95">
        <f t="shared" si="19"/>
        <v>347781</v>
      </c>
      <c r="P162" s="95">
        <f t="shared" si="20"/>
        <v>233671</v>
      </c>
      <c r="Q162" s="361">
        <f t="shared" si="21"/>
        <v>67.189121889924991</v>
      </c>
    </row>
    <row r="163" spans="2:17" x14ac:dyDescent="0.2">
      <c r="B163" s="18">
        <f t="shared" si="22"/>
        <v>56</v>
      </c>
      <c r="C163" s="6"/>
      <c r="D163" s="6"/>
      <c r="E163" s="6"/>
      <c r="F163" s="93"/>
      <c r="G163" s="5">
        <v>633</v>
      </c>
      <c r="H163" s="6" t="s">
        <v>125</v>
      </c>
      <c r="I163" s="7">
        <f>40000+5000</f>
        <v>45000</v>
      </c>
      <c r="J163" s="7">
        <v>43260</v>
      </c>
      <c r="K163" s="361">
        <f t="shared" si="24"/>
        <v>96.13333333333334</v>
      </c>
      <c r="L163" s="7"/>
      <c r="M163" s="7"/>
      <c r="N163" s="361"/>
      <c r="O163" s="95">
        <f t="shared" si="19"/>
        <v>45000</v>
      </c>
      <c r="P163" s="95">
        <f t="shared" si="20"/>
        <v>43260</v>
      </c>
      <c r="Q163" s="361">
        <f t="shared" si="21"/>
        <v>96.13333333333334</v>
      </c>
    </row>
    <row r="164" spans="2:17" x14ac:dyDescent="0.2">
      <c r="B164" s="18">
        <f t="shared" si="22"/>
        <v>57</v>
      </c>
      <c r="C164" s="6"/>
      <c r="D164" s="6"/>
      <c r="E164" s="6"/>
      <c r="F164" s="93"/>
      <c r="G164" s="5">
        <v>635</v>
      </c>
      <c r="H164" s="6" t="s">
        <v>133</v>
      </c>
      <c r="I164" s="7">
        <f>65000-20000</f>
        <v>45000</v>
      </c>
      <c r="J164" s="7">
        <v>22439</v>
      </c>
      <c r="K164" s="361">
        <f t="shared" si="24"/>
        <v>49.864444444444445</v>
      </c>
      <c r="L164" s="7"/>
      <c r="M164" s="7"/>
      <c r="N164" s="361"/>
      <c r="O164" s="95">
        <f t="shared" si="19"/>
        <v>45000</v>
      </c>
      <c r="P164" s="95">
        <f t="shared" si="20"/>
        <v>22439</v>
      </c>
      <c r="Q164" s="361">
        <f t="shared" si="21"/>
        <v>49.864444444444445</v>
      </c>
    </row>
    <row r="165" spans="2:17" x14ac:dyDescent="0.2">
      <c r="B165" s="18">
        <f t="shared" si="22"/>
        <v>58</v>
      </c>
      <c r="C165" s="6"/>
      <c r="D165" s="6"/>
      <c r="E165" s="6"/>
      <c r="F165" s="93"/>
      <c r="G165" s="5">
        <v>637</v>
      </c>
      <c r="H165" s="6" t="s">
        <v>122</v>
      </c>
      <c r="I165" s="7">
        <f>304830+43200-3000+40000</f>
        <v>385030</v>
      </c>
      <c r="J165" s="7">
        <v>380464</v>
      </c>
      <c r="K165" s="361">
        <f t="shared" si="24"/>
        <v>98.814118380385935</v>
      </c>
      <c r="L165" s="7"/>
      <c r="M165" s="7"/>
      <c r="N165" s="361"/>
      <c r="O165" s="95">
        <f t="shared" si="19"/>
        <v>385030</v>
      </c>
      <c r="P165" s="95">
        <f t="shared" si="20"/>
        <v>380464</v>
      </c>
      <c r="Q165" s="361">
        <f t="shared" si="21"/>
        <v>98.814118380385935</v>
      </c>
    </row>
    <row r="166" spans="2:17" x14ac:dyDescent="0.2">
      <c r="B166" s="18">
        <f t="shared" si="22"/>
        <v>59</v>
      </c>
      <c r="C166" s="3"/>
      <c r="D166" s="3"/>
      <c r="E166" s="3"/>
      <c r="F166" s="90" t="s">
        <v>243</v>
      </c>
      <c r="G166" s="2">
        <v>630</v>
      </c>
      <c r="H166" s="3" t="s">
        <v>121</v>
      </c>
      <c r="I166" s="4">
        <f>I167</f>
        <v>25000</v>
      </c>
      <c r="J166" s="4">
        <f>J167</f>
        <v>23746</v>
      </c>
      <c r="K166" s="361">
        <f t="shared" si="24"/>
        <v>94.984000000000009</v>
      </c>
      <c r="L166" s="4"/>
      <c r="M166" s="4"/>
      <c r="N166" s="361"/>
      <c r="O166" s="92">
        <f t="shared" si="19"/>
        <v>25000</v>
      </c>
      <c r="P166" s="92">
        <f t="shared" si="20"/>
        <v>23746</v>
      </c>
      <c r="Q166" s="361">
        <f t="shared" si="21"/>
        <v>94.984000000000009</v>
      </c>
    </row>
    <row r="167" spans="2:17" x14ac:dyDescent="0.2">
      <c r="B167" s="18">
        <f t="shared" si="22"/>
        <v>60</v>
      </c>
      <c r="C167" s="6"/>
      <c r="D167" s="6"/>
      <c r="E167" s="6"/>
      <c r="F167" s="93"/>
      <c r="G167" s="5">
        <v>637</v>
      </c>
      <c r="H167" s="6" t="s">
        <v>122</v>
      </c>
      <c r="I167" s="7">
        <v>25000</v>
      </c>
      <c r="J167" s="7">
        <v>23746</v>
      </c>
      <c r="K167" s="361">
        <f t="shared" si="24"/>
        <v>94.984000000000009</v>
      </c>
      <c r="L167" s="7"/>
      <c r="M167" s="7"/>
      <c r="N167" s="361"/>
      <c r="O167" s="95">
        <f t="shared" si="19"/>
        <v>25000</v>
      </c>
      <c r="P167" s="95">
        <f t="shared" si="20"/>
        <v>23746</v>
      </c>
      <c r="Q167" s="361">
        <f t="shared" si="21"/>
        <v>94.984000000000009</v>
      </c>
    </row>
    <row r="168" spans="2:17" x14ac:dyDescent="0.2">
      <c r="B168" s="18">
        <f t="shared" si="22"/>
        <v>61</v>
      </c>
      <c r="C168" s="3"/>
      <c r="D168" s="3"/>
      <c r="E168" s="3"/>
      <c r="F168" s="90" t="s">
        <v>208</v>
      </c>
      <c r="G168" s="2">
        <v>650</v>
      </c>
      <c r="H168" s="3" t="s">
        <v>452</v>
      </c>
      <c r="I168" s="4">
        <f>418000+30000+73650</f>
        <v>521650</v>
      </c>
      <c r="J168" s="4">
        <v>451169</v>
      </c>
      <c r="K168" s="361">
        <f t="shared" si="24"/>
        <v>86.488833509057798</v>
      </c>
      <c r="L168" s="4"/>
      <c r="M168" s="4"/>
      <c r="N168" s="361"/>
      <c r="O168" s="92">
        <f t="shared" si="19"/>
        <v>521650</v>
      </c>
      <c r="P168" s="92">
        <f t="shared" si="20"/>
        <v>451169</v>
      </c>
      <c r="Q168" s="361">
        <f t="shared" si="21"/>
        <v>86.488833509057798</v>
      </c>
    </row>
    <row r="169" spans="2:17" x14ac:dyDescent="0.2">
      <c r="B169" s="18">
        <f t="shared" si="22"/>
        <v>62</v>
      </c>
      <c r="C169" s="3"/>
      <c r="D169" s="3"/>
      <c r="E169" s="3"/>
      <c r="F169" s="90" t="s">
        <v>73</v>
      </c>
      <c r="G169" s="2">
        <v>640</v>
      </c>
      <c r="H169" s="3" t="s">
        <v>129</v>
      </c>
      <c r="I169" s="4">
        <f>175000-12000</f>
        <v>163000</v>
      </c>
      <c r="J169" s="4">
        <v>116564</v>
      </c>
      <c r="K169" s="361">
        <f t="shared" si="24"/>
        <v>71.511656441717804</v>
      </c>
      <c r="L169" s="4"/>
      <c r="M169" s="4"/>
      <c r="N169" s="361"/>
      <c r="O169" s="92">
        <f t="shared" si="19"/>
        <v>163000</v>
      </c>
      <c r="P169" s="92">
        <f t="shared" si="20"/>
        <v>116564</v>
      </c>
      <c r="Q169" s="361">
        <f t="shared" si="21"/>
        <v>71.511656441717804</v>
      </c>
    </row>
    <row r="170" spans="2:17" x14ac:dyDescent="0.2">
      <c r="B170" s="18">
        <f t="shared" si="22"/>
        <v>63</v>
      </c>
      <c r="C170" s="3"/>
      <c r="D170" s="3"/>
      <c r="E170" s="3"/>
      <c r="F170" s="90" t="s">
        <v>73</v>
      </c>
      <c r="G170" s="2">
        <v>710</v>
      </c>
      <c r="H170" s="3" t="s">
        <v>175</v>
      </c>
      <c r="I170" s="10"/>
      <c r="J170" s="10"/>
      <c r="K170" s="361"/>
      <c r="L170" s="4">
        <f>L171+L177</f>
        <v>78460</v>
      </c>
      <c r="M170" s="4">
        <f>M171+M177</f>
        <v>33611</v>
      </c>
      <c r="N170" s="361">
        <f t="shared" ref="N170:N178" si="25">M170/L170*100</f>
        <v>42.838388988019375</v>
      </c>
      <c r="O170" s="92">
        <f t="shared" si="19"/>
        <v>78460</v>
      </c>
      <c r="P170" s="92">
        <f t="shared" si="20"/>
        <v>33611</v>
      </c>
      <c r="Q170" s="361">
        <f t="shared" si="21"/>
        <v>42.838388988019375</v>
      </c>
    </row>
    <row r="171" spans="2:17" x14ac:dyDescent="0.2">
      <c r="B171" s="18">
        <f t="shared" si="22"/>
        <v>64</v>
      </c>
      <c r="C171" s="3"/>
      <c r="D171" s="3"/>
      <c r="E171" s="3"/>
      <c r="F171" s="93"/>
      <c r="G171" s="5">
        <v>713</v>
      </c>
      <c r="H171" s="6" t="s">
        <v>218</v>
      </c>
      <c r="I171" s="10"/>
      <c r="J171" s="10"/>
      <c r="K171" s="361"/>
      <c r="L171" s="7">
        <f>L173+L174+L176+L172+L175</f>
        <v>38460</v>
      </c>
      <c r="M171" s="7">
        <f>M173+M174+M176+M172+M175</f>
        <v>33611</v>
      </c>
      <c r="N171" s="361">
        <f t="shared" si="25"/>
        <v>87.39209568382735</v>
      </c>
      <c r="O171" s="95">
        <f t="shared" si="19"/>
        <v>38460</v>
      </c>
      <c r="P171" s="95">
        <f t="shared" si="20"/>
        <v>33611</v>
      </c>
      <c r="Q171" s="361">
        <f t="shared" si="21"/>
        <v>87.39209568382735</v>
      </c>
    </row>
    <row r="172" spans="2:17" x14ac:dyDescent="0.2">
      <c r="B172" s="18">
        <f t="shared" si="22"/>
        <v>65</v>
      </c>
      <c r="C172" s="3"/>
      <c r="D172" s="3"/>
      <c r="E172" s="3"/>
      <c r="F172" s="93"/>
      <c r="G172" s="5"/>
      <c r="H172" s="9" t="s">
        <v>723</v>
      </c>
      <c r="I172" s="10"/>
      <c r="J172" s="10"/>
      <c r="K172" s="361"/>
      <c r="L172" s="7">
        <v>15000</v>
      </c>
      <c r="M172" s="7">
        <v>11215</v>
      </c>
      <c r="N172" s="361">
        <f t="shared" si="25"/>
        <v>74.766666666666666</v>
      </c>
      <c r="O172" s="95">
        <f t="shared" ref="O172:O202" si="26">I172+L172</f>
        <v>15000</v>
      </c>
      <c r="P172" s="95">
        <f t="shared" ref="P172:P202" si="27">J172+M172</f>
        <v>11215</v>
      </c>
      <c r="Q172" s="361">
        <f t="shared" ref="Q172:Q202" si="28">P172/O172*100</f>
        <v>74.766666666666666</v>
      </c>
    </row>
    <row r="173" spans="2:17" x14ac:dyDescent="0.2">
      <c r="B173" s="18">
        <f t="shared" ref="B173:B202" si="29">B172+1</f>
        <v>66</v>
      </c>
      <c r="C173" s="3"/>
      <c r="D173" s="3"/>
      <c r="E173" s="3"/>
      <c r="F173" s="106"/>
      <c r="G173" s="106"/>
      <c r="H173" s="9" t="s">
        <v>613</v>
      </c>
      <c r="I173" s="10"/>
      <c r="J173" s="10"/>
      <c r="K173" s="361"/>
      <c r="L173" s="7">
        <v>11200</v>
      </c>
      <c r="M173" s="7">
        <v>11113</v>
      </c>
      <c r="N173" s="361">
        <f t="shared" si="25"/>
        <v>99.223214285714292</v>
      </c>
      <c r="O173" s="95">
        <f t="shared" si="26"/>
        <v>11200</v>
      </c>
      <c r="P173" s="95">
        <f t="shared" si="27"/>
        <v>11113</v>
      </c>
      <c r="Q173" s="361">
        <f t="shared" si="28"/>
        <v>99.223214285714292</v>
      </c>
    </row>
    <row r="174" spans="2:17" x14ac:dyDescent="0.2">
      <c r="B174" s="18">
        <f t="shared" si="29"/>
        <v>67</v>
      </c>
      <c r="C174" s="3"/>
      <c r="D174" s="3"/>
      <c r="E174" s="3"/>
      <c r="F174" s="106"/>
      <c r="G174" s="106"/>
      <c r="H174" s="9" t="s">
        <v>614</v>
      </c>
      <c r="I174" s="10"/>
      <c r="J174" s="10"/>
      <c r="K174" s="361"/>
      <c r="L174" s="7">
        <v>2400</v>
      </c>
      <c r="M174" s="7">
        <v>2394</v>
      </c>
      <c r="N174" s="361">
        <f t="shared" si="25"/>
        <v>99.75</v>
      </c>
      <c r="O174" s="95">
        <f t="shared" si="26"/>
        <v>2400</v>
      </c>
      <c r="P174" s="95">
        <f t="shared" si="27"/>
        <v>2394</v>
      </c>
      <c r="Q174" s="361">
        <f t="shared" si="28"/>
        <v>99.75</v>
      </c>
    </row>
    <row r="175" spans="2:17" x14ac:dyDescent="0.2">
      <c r="B175" s="18">
        <f t="shared" si="29"/>
        <v>68</v>
      </c>
      <c r="C175" s="3"/>
      <c r="D175" s="3"/>
      <c r="E175" s="3"/>
      <c r="F175" s="106"/>
      <c r="G175" s="106"/>
      <c r="H175" s="9" t="s">
        <v>506</v>
      </c>
      <c r="I175" s="10"/>
      <c r="J175" s="10"/>
      <c r="K175" s="361"/>
      <c r="L175" s="7">
        <v>6800</v>
      </c>
      <c r="M175" s="7">
        <v>5831</v>
      </c>
      <c r="N175" s="361">
        <f t="shared" si="25"/>
        <v>85.75</v>
      </c>
      <c r="O175" s="95">
        <f t="shared" si="26"/>
        <v>6800</v>
      </c>
      <c r="P175" s="95">
        <f t="shared" si="27"/>
        <v>5831</v>
      </c>
      <c r="Q175" s="361">
        <f t="shared" si="28"/>
        <v>85.75</v>
      </c>
    </row>
    <row r="176" spans="2:17" x14ac:dyDescent="0.2">
      <c r="B176" s="18">
        <f t="shared" si="29"/>
        <v>69</v>
      </c>
      <c r="C176" s="3"/>
      <c r="D176" s="3"/>
      <c r="E176" s="3"/>
      <c r="F176" s="106"/>
      <c r="G176" s="106"/>
      <c r="H176" s="9" t="s">
        <v>672</v>
      </c>
      <c r="I176" s="10"/>
      <c r="J176" s="10"/>
      <c r="K176" s="361"/>
      <c r="L176" s="7">
        <v>3060</v>
      </c>
      <c r="M176" s="7">
        <v>3058</v>
      </c>
      <c r="N176" s="361">
        <f t="shared" si="25"/>
        <v>99.93464052287581</v>
      </c>
      <c r="O176" s="95">
        <f t="shared" si="26"/>
        <v>3060</v>
      </c>
      <c r="P176" s="95">
        <f t="shared" si="27"/>
        <v>3058</v>
      </c>
      <c r="Q176" s="361">
        <f t="shared" si="28"/>
        <v>99.93464052287581</v>
      </c>
    </row>
    <row r="177" spans="2:17" x14ac:dyDescent="0.2">
      <c r="B177" s="18">
        <f t="shared" si="29"/>
        <v>70</v>
      </c>
      <c r="C177" s="3"/>
      <c r="D177" s="3"/>
      <c r="E177" s="3"/>
      <c r="F177" s="106"/>
      <c r="G177" s="5">
        <v>717</v>
      </c>
      <c r="H177" s="6" t="s">
        <v>182</v>
      </c>
      <c r="I177" s="10"/>
      <c r="J177" s="10"/>
      <c r="K177" s="361"/>
      <c r="L177" s="7">
        <f>L178</f>
        <v>40000</v>
      </c>
      <c r="M177" s="7">
        <f>M178</f>
        <v>0</v>
      </c>
      <c r="N177" s="361">
        <f t="shared" si="25"/>
        <v>0</v>
      </c>
      <c r="O177" s="95">
        <f t="shared" si="26"/>
        <v>40000</v>
      </c>
      <c r="P177" s="95">
        <f t="shared" si="27"/>
        <v>0</v>
      </c>
      <c r="Q177" s="361">
        <f t="shared" si="28"/>
        <v>0</v>
      </c>
    </row>
    <row r="178" spans="2:17" x14ac:dyDescent="0.2">
      <c r="B178" s="18">
        <f t="shared" si="29"/>
        <v>71</v>
      </c>
      <c r="C178" s="3"/>
      <c r="D178" s="3"/>
      <c r="E178" s="3"/>
      <c r="F178" s="106"/>
      <c r="G178" s="106"/>
      <c r="H178" s="9" t="s">
        <v>689</v>
      </c>
      <c r="I178" s="10"/>
      <c r="J178" s="10"/>
      <c r="K178" s="361"/>
      <c r="L178" s="10">
        <v>40000</v>
      </c>
      <c r="M178" s="10"/>
      <c r="N178" s="361">
        <f t="shared" si="25"/>
        <v>0</v>
      </c>
      <c r="O178" s="108">
        <f t="shared" si="26"/>
        <v>40000</v>
      </c>
      <c r="P178" s="108">
        <f t="shared" si="27"/>
        <v>0</v>
      </c>
      <c r="Q178" s="361">
        <f t="shared" si="28"/>
        <v>0</v>
      </c>
    </row>
    <row r="179" spans="2:17" ht="15" x14ac:dyDescent="0.2">
      <c r="B179" s="18">
        <f t="shared" si="29"/>
        <v>72</v>
      </c>
      <c r="C179" s="82">
        <v>6</v>
      </c>
      <c r="D179" s="495" t="s">
        <v>257</v>
      </c>
      <c r="E179" s="496"/>
      <c r="F179" s="496"/>
      <c r="G179" s="496"/>
      <c r="H179" s="496"/>
      <c r="I179" s="83">
        <f>I180+I182</f>
        <v>19500</v>
      </c>
      <c r="J179" s="83">
        <f>J180+J182</f>
        <v>12418</v>
      </c>
      <c r="K179" s="361">
        <f t="shared" ref="K179:K191" si="30">J179/I179*100</f>
        <v>63.682051282051276</v>
      </c>
      <c r="L179" s="83"/>
      <c r="M179" s="83"/>
      <c r="N179" s="361"/>
      <c r="O179" s="99">
        <f t="shared" si="26"/>
        <v>19500</v>
      </c>
      <c r="P179" s="99">
        <f t="shared" si="27"/>
        <v>12418</v>
      </c>
      <c r="Q179" s="361">
        <f t="shared" si="28"/>
        <v>63.682051282051276</v>
      </c>
    </row>
    <row r="180" spans="2:17" x14ac:dyDescent="0.2">
      <c r="B180" s="18">
        <f t="shared" si="29"/>
        <v>73</v>
      </c>
      <c r="C180" s="3"/>
      <c r="D180" s="3"/>
      <c r="E180" s="3"/>
      <c r="F180" s="90" t="s">
        <v>73</v>
      </c>
      <c r="G180" s="2">
        <v>630</v>
      </c>
      <c r="H180" s="3" t="s">
        <v>121</v>
      </c>
      <c r="I180" s="4">
        <f>I181</f>
        <v>5500</v>
      </c>
      <c r="J180" s="4">
        <f>J181</f>
        <v>3030</v>
      </c>
      <c r="K180" s="361">
        <f t="shared" si="30"/>
        <v>55.090909090909093</v>
      </c>
      <c r="L180" s="4"/>
      <c r="M180" s="4"/>
      <c r="N180" s="361"/>
      <c r="O180" s="92">
        <f t="shared" si="26"/>
        <v>5500</v>
      </c>
      <c r="P180" s="92">
        <f t="shared" si="27"/>
        <v>3030</v>
      </c>
      <c r="Q180" s="361">
        <f t="shared" si="28"/>
        <v>55.090909090909093</v>
      </c>
    </row>
    <row r="181" spans="2:17" x14ac:dyDescent="0.2">
      <c r="B181" s="18">
        <f t="shared" si="29"/>
        <v>74</v>
      </c>
      <c r="C181" s="6"/>
      <c r="D181" s="6"/>
      <c r="E181" s="6"/>
      <c r="F181" s="93"/>
      <c r="G181" s="5">
        <v>631</v>
      </c>
      <c r="H181" s="6" t="s">
        <v>127</v>
      </c>
      <c r="I181" s="7">
        <v>5500</v>
      </c>
      <c r="J181" s="7">
        <v>3030</v>
      </c>
      <c r="K181" s="361">
        <f t="shared" si="30"/>
        <v>55.090909090909093</v>
      </c>
      <c r="L181" s="7"/>
      <c r="M181" s="7"/>
      <c r="N181" s="361"/>
      <c r="O181" s="95">
        <f t="shared" si="26"/>
        <v>5500</v>
      </c>
      <c r="P181" s="95">
        <f t="shared" si="27"/>
        <v>3030</v>
      </c>
      <c r="Q181" s="361">
        <f t="shared" si="28"/>
        <v>55.090909090909093</v>
      </c>
    </row>
    <row r="182" spans="2:17" x14ac:dyDescent="0.2">
      <c r="B182" s="18">
        <f t="shared" si="29"/>
        <v>75</v>
      </c>
      <c r="C182" s="3"/>
      <c r="D182" s="3"/>
      <c r="E182" s="3"/>
      <c r="F182" s="90" t="s">
        <v>158</v>
      </c>
      <c r="G182" s="2">
        <v>630</v>
      </c>
      <c r="H182" s="3" t="s">
        <v>121</v>
      </c>
      <c r="I182" s="4">
        <f>I183</f>
        <v>14000</v>
      </c>
      <c r="J182" s="4">
        <f>J183</f>
        <v>9388</v>
      </c>
      <c r="K182" s="361">
        <f t="shared" si="30"/>
        <v>67.057142857142864</v>
      </c>
      <c r="L182" s="4"/>
      <c r="M182" s="4"/>
      <c r="N182" s="361"/>
      <c r="O182" s="92">
        <f t="shared" si="26"/>
        <v>14000</v>
      </c>
      <c r="P182" s="92">
        <f t="shared" si="27"/>
        <v>9388</v>
      </c>
      <c r="Q182" s="361">
        <f t="shared" si="28"/>
        <v>67.057142857142864</v>
      </c>
    </row>
    <row r="183" spans="2:17" x14ac:dyDescent="0.2">
      <c r="B183" s="18">
        <f t="shared" si="29"/>
        <v>76</v>
      </c>
      <c r="C183" s="6"/>
      <c r="D183" s="6"/>
      <c r="E183" s="6"/>
      <c r="F183" s="93"/>
      <c r="G183" s="5">
        <v>637</v>
      </c>
      <c r="H183" s="6" t="s">
        <v>122</v>
      </c>
      <c r="I183" s="7">
        <v>14000</v>
      </c>
      <c r="J183" s="7">
        <v>9388</v>
      </c>
      <c r="K183" s="361">
        <f t="shared" si="30"/>
        <v>67.057142857142864</v>
      </c>
      <c r="L183" s="7"/>
      <c r="M183" s="7"/>
      <c r="N183" s="361"/>
      <c r="O183" s="95">
        <f t="shared" si="26"/>
        <v>14000</v>
      </c>
      <c r="P183" s="95">
        <f t="shared" si="27"/>
        <v>9388</v>
      </c>
      <c r="Q183" s="361">
        <f t="shared" si="28"/>
        <v>67.057142857142864</v>
      </c>
    </row>
    <row r="184" spans="2:17" ht="15" x14ac:dyDescent="0.2">
      <c r="B184" s="18">
        <f t="shared" si="29"/>
        <v>77</v>
      </c>
      <c r="C184" s="82">
        <v>7</v>
      </c>
      <c r="D184" s="495" t="s">
        <v>135</v>
      </c>
      <c r="E184" s="496"/>
      <c r="F184" s="496"/>
      <c r="G184" s="496"/>
      <c r="H184" s="496"/>
      <c r="I184" s="83">
        <f>I185</f>
        <v>421500</v>
      </c>
      <c r="J184" s="83">
        <f>J185</f>
        <v>373665</v>
      </c>
      <c r="K184" s="361">
        <f t="shared" si="30"/>
        <v>88.65124555160142</v>
      </c>
      <c r="L184" s="83">
        <f>L192</f>
        <v>217000</v>
      </c>
      <c r="M184" s="83">
        <f>M192</f>
        <v>206896</v>
      </c>
      <c r="N184" s="361">
        <f>M184/L184*100</f>
        <v>95.343778801843314</v>
      </c>
      <c r="O184" s="99">
        <f t="shared" si="26"/>
        <v>638500</v>
      </c>
      <c r="P184" s="99">
        <f t="shared" si="27"/>
        <v>580561</v>
      </c>
      <c r="Q184" s="361">
        <f t="shared" si="28"/>
        <v>90.925763508222403</v>
      </c>
    </row>
    <row r="185" spans="2:17" x14ac:dyDescent="0.2">
      <c r="B185" s="18">
        <f t="shared" si="29"/>
        <v>78</v>
      </c>
      <c r="C185" s="3"/>
      <c r="D185" s="3"/>
      <c r="E185" s="3"/>
      <c r="F185" s="90" t="s">
        <v>73</v>
      </c>
      <c r="G185" s="2">
        <v>630</v>
      </c>
      <c r="H185" s="3" t="s">
        <v>121</v>
      </c>
      <c r="I185" s="4">
        <f>SUM(I186:I191)</f>
        <v>421500</v>
      </c>
      <c r="J185" s="4">
        <f>SUM(J186:J191)</f>
        <v>373665</v>
      </c>
      <c r="K185" s="361">
        <f t="shared" si="30"/>
        <v>88.65124555160142</v>
      </c>
      <c r="L185" s="4"/>
      <c r="M185" s="4"/>
      <c r="N185" s="361"/>
      <c r="O185" s="92">
        <f t="shared" si="26"/>
        <v>421500</v>
      </c>
      <c r="P185" s="92">
        <f t="shared" si="27"/>
        <v>373665</v>
      </c>
      <c r="Q185" s="361">
        <f t="shared" si="28"/>
        <v>88.65124555160142</v>
      </c>
    </row>
    <row r="186" spans="2:17" x14ac:dyDescent="0.2">
      <c r="B186" s="18">
        <f t="shared" si="29"/>
        <v>79</v>
      </c>
      <c r="C186" s="6"/>
      <c r="D186" s="6"/>
      <c r="E186" s="6"/>
      <c r="F186" s="93"/>
      <c r="G186" s="5">
        <v>632</v>
      </c>
      <c r="H186" s="6" t="s">
        <v>134</v>
      </c>
      <c r="I186" s="7">
        <v>6000</v>
      </c>
      <c r="J186" s="7">
        <v>5407</v>
      </c>
      <c r="K186" s="361">
        <f t="shared" si="30"/>
        <v>90.116666666666674</v>
      </c>
      <c r="L186" s="7"/>
      <c r="M186" s="7"/>
      <c r="N186" s="361"/>
      <c r="O186" s="95">
        <f t="shared" si="26"/>
        <v>6000</v>
      </c>
      <c r="P186" s="95">
        <f t="shared" si="27"/>
        <v>5407</v>
      </c>
      <c r="Q186" s="361">
        <f t="shared" si="28"/>
        <v>90.116666666666674</v>
      </c>
    </row>
    <row r="187" spans="2:17" x14ac:dyDescent="0.2">
      <c r="B187" s="18">
        <f t="shared" si="29"/>
        <v>80</v>
      </c>
      <c r="C187" s="6"/>
      <c r="D187" s="6"/>
      <c r="E187" s="6"/>
      <c r="F187" s="93"/>
      <c r="G187" s="5">
        <v>633</v>
      </c>
      <c r="H187" s="6" t="s">
        <v>125</v>
      </c>
      <c r="I187" s="7">
        <f>68000-3000</f>
        <v>65000</v>
      </c>
      <c r="J187" s="7">
        <v>58072</v>
      </c>
      <c r="K187" s="361">
        <f t="shared" si="30"/>
        <v>89.341538461538462</v>
      </c>
      <c r="L187" s="7"/>
      <c r="M187" s="7"/>
      <c r="N187" s="361"/>
      <c r="O187" s="95">
        <f t="shared" si="26"/>
        <v>65000</v>
      </c>
      <c r="P187" s="95">
        <f t="shared" si="27"/>
        <v>58072</v>
      </c>
      <c r="Q187" s="361">
        <f t="shared" si="28"/>
        <v>89.341538461538462</v>
      </c>
    </row>
    <row r="188" spans="2:17" x14ac:dyDescent="0.2">
      <c r="B188" s="18">
        <f t="shared" si="29"/>
        <v>81</v>
      </c>
      <c r="C188" s="6"/>
      <c r="D188" s="6"/>
      <c r="E188" s="6"/>
      <c r="F188" s="93"/>
      <c r="G188" s="5">
        <v>635</v>
      </c>
      <c r="H188" s="6" t="s">
        <v>133</v>
      </c>
      <c r="I188" s="7">
        <f>280000-20000-6000</f>
        <v>254000</v>
      </c>
      <c r="J188" s="7">
        <v>234604</v>
      </c>
      <c r="K188" s="361">
        <f t="shared" si="30"/>
        <v>92.363779527559046</v>
      </c>
      <c r="L188" s="7"/>
      <c r="M188" s="7"/>
      <c r="N188" s="361"/>
      <c r="O188" s="95">
        <f t="shared" si="26"/>
        <v>254000</v>
      </c>
      <c r="P188" s="95">
        <f t="shared" si="27"/>
        <v>234604</v>
      </c>
      <c r="Q188" s="361">
        <f t="shared" si="28"/>
        <v>92.363779527559046</v>
      </c>
    </row>
    <row r="189" spans="2:17" x14ac:dyDescent="0.2">
      <c r="B189" s="18">
        <f t="shared" si="29"/>
        <v>82</v>
      </c>
      <c r="C189" s="6"/>
      <c r="D189" s="6"/>
      <c r="E189" s="6"/>
      <c r="F189" s="93"/>
      <c r="G189" s="5">
        <v>636</v>
      </c>
      <c r="H189" s="6" t="s">
        <v>126</v>
      </c>
      <c r="I189" s="7">
        <f>34500+6000</f>
        <v>40500</v>
      </c>
      <c r="J189" s="7">
        <v>39007</v>
      </c>
      <c r="K189" s="361">
        <f t="shared" si="30"/>
        <v>96.313580246913574</v>
      </c>
      <c r="L189" s="7"/>
      <c r="M189" s="7"/>
      <c r="N189" s="361"/>
      <c r="O189" s="95">
        <f t="shared" si="26"/>
        <v>40500</v>
      </c>
      <c r="P189" s="95">
        <f t="shared" si="27"/>
        <v>39007</v>
      </c>
      <c r="Q189" s="361">
        <f t="shared" si="28"/>
        <v>96.313580246913574</v>
      </c>
    </row>
    <row r="190" spans="2:17" x14ac:dyDescent="0.2">
      <c r="B190" s="18">
        <f t="shared" si="29"/>
        <v>83</v>
      </c>
      <c r="C190" s="6"/>
      <c r="D190" s="6"/>
      <c r="E190" s="6"/>
      <c r="F190" s="93"/>
      <c r="G190" s="5">
        <v>637</v>
      </c>
      <c r="H190" s="6" t="s">
        <v>122</v>
      </c>
      <c r="I190" s="7">
        <f>20000+20000</f>
        <v>40000</v>
      </c>
      <c r="J190" s="7">
        <v>36575</v>
      </c>
      <c r="K190" s="361">
        <f t="shared" si="30"/>
        <v>91.4375</v>
      </c>
      <c r="L190" s="7"/>
      <c r="M190" s="7"/>
      <c r="N190" s="361"/>
      <c r="O190" s="95">
        <f t="shared" si="26"/>
        <v>40000</v>
      </c>
      <c r="P190" s="95">
        <f t="shared" si="27"/>
        <v>36575</v>
      </c>
      <c r="Q190" s="361">
        <f t="shared" si="28"/>
        <v>91.4375</v>
      </c>
    </row>
    <row r="191" spans="2:17" x14ac:dyDescent="0.2">
      <c r="B191" s="18">
        <f t="shared" si="29"/>
        <v>84</v>
      </c>
      <c r="C191" s="6"/>
      <c r="D191" s="6"/>
      <c r="E191" s="6"/>
      <c r="F191" s="93"/>
      <c r="G191" s="5">
        <v>637</v>
      </c>
      <c r="H191" s="6" t="s">
        <v>565</v>
      </c>
      <c r="I191" s="7">
        <v>16000</v>
      </c>
      <c r="J191" s="7">
        <v>0</v>
      </c>
      <c r="K191" s="361">
        <f t="shared" si="30"/>
        <v>0</v>
      </c>
      <c r="L191" s="7"/>
      <c r="M191" s="7"/>
      <c r="N191" s="361"/>
      <c r="O191" s="95">
        <f t="shared" si="26"/>
        <v>16000</v>
      </c>
      <c r="P191" s="95">
        <f t="shared" si="27"/>
        <v>0</v>
      </c>
      <c r="Q191" s="361">
        <f t="shared" si="28"/>
        <v>0</v>
      </c>
    </row>
    <row r="192" spans="2:17" x14ac:dyDescent="0.2">
      <c r="B192" s="18">
        <f t="shared" si="29"/>
        <v>85</v>
      </c>
      <c r="C192" s="3"/>
      <c r="D192" s="3"/>
      <c r="E192" s="3"/>
      <c r="F192" s="90" t="s">
        <v>73</v>
      </c>
      <c r="G192" s="2">
        <v>710</v>
      </c>
      <c r="H192" s="3" t="s">
        <v>175</v>
      </c>
      <c r="I192" s="10"/>
      <c r="J192" s="10"/>
      <c r="K192" s="361"/>
      <c r="L192" s="4">
        <f>L193+L196</f>
        <v>217000</v>
      </c>
      <c r="M192" s="4">
        <f>M193+M196</f>
        <v>206896</v>
      </c>
      <c r="N192" s="361">
        <f t="shared" ref="N192:N198" si="31">M192/L192*100</f>
        <v>95.343778801843314</v>
      </c>
      <c r="O192" s="92">
        <f t="shared" si="26"/>
        <v>217000</v>
      </c>
      <c r="P192" s="92">
        <f t="shared" si="27"/>
        <v>206896</v>
      </c>
      <c r="Q192" s="361">
        <f t="shared" si="28"/>
        <v>95.343778801843314</v>
      </c>
    </row>
    <row r="193" spans="2:17" x14ac:dyDescent="0.2">
      <c r="B193" s="18">
        <f t="shared" si="29"/>
        <v>86</v>
      </c>
      <c r="C193" s="6"/>
      <c r="D193" s="6"/>
      <c r="E193" s="6"/>
      <c r="F193" s="93"/>
      <c r="G193" s="5">
        <v>711</v>
      </c>
      <c r="H193" s="6" t="s">
        <v>209</v>
      </c>
      <c r="I193" s="10"/>
      <c r="J193" s="10"/>
      <c r="K193" s="361"/>
      <c r="L193" s="7">
        <f>SUM(L194:L195)</f>
        <v>94000</v>
      </c>
      <c r="M193" s="7">
        <f>SUM(M194:M195)</f>
        <v>83979</v>
      </c>
      <c r="N193" s="361">
        <f t="shared" si="31"/>
        <v>89.339361702127661</v>
      </c>
      <c r="O193" s="95">
        <f t="shared" si="26"/>
        <v>94000</v>
      </c>
      <c r="P193" s="95">
        <f t="shared" si="27"/>
        <v>83979</v>
      </c>
      <c r="Q193" s="361">
        <f t="shared" si="28"/>
        <v>89.339361702127661</v>
      </c>
    </row>
    <row r="194" spans="2:17" x14ac:dyDescent="0.2">
      <c r="B194" s="18">
        <f t="shared" si="29"/>
        <v>87</v>
      </c>
      <c r="C194" s="67"/>
      <c r="D194" s="67"/>
      <c r="E194" s="9"/>
      <c r="F194" s="106"/>
      <c r="G194" s="106"/>
      <c r="H194" s="9" t="s">
        <v>337</v>
      </c>
      <c r="I194" s="10"/>
      <c r="J194" s="10"/>
      <c r="K194" s="361"/>
      <c r="L194" s="10">
        <v>10000</v>
      </c>
      <c r="M194" s="10">
        <v>9999</v>
      </c>
      <c r="N194" s="361">
        <f t="shared" si="31"/>
        <v>99.99</v>
      </c>
      <c r="O194" s="108">
        <f t="shared" si="26"/>
        <v>10000</v>
      </c>
      <c r="P194" s="108">
        <f t="shared" si="27"/>
        <v>9999</v>
      </c>
      <c r="Q194" s="361">
        <f t="shared" si="28"/>
        <v>99.99</v>
      </c>
    </row>
    <row r="195" spans="2:17" ht="24" x14ac:dyDescent="0.2">
      <c r="B195" s="18">
        <f t="shared" si="29"/>
        <v>88</v>
      </c>
      <c r="C195" s="67"/>
      <c r="D195" s="67"/>
      <c r="E195" s="9"/>
      <c r="F195" s="106"/>
      <c r="G195" s="106"/>
      <c r="H195" s="201" t="s">
        <v>565</v>
      </c>
      <c r="I195" s="10"/>
      <c r="J195" s="10"/>
      <c r="K195" s="361"/>
      <c r="L195" s="10">
        <v>84000</v>
      </c>
      <c r="M195" s="10">
        <v>73980</v>
      </c>
      <c r="N195" s="361">
        <f t="shared" si="31"/>
        <v>88.071428571428569</v>
      </c>
      <c r="O195" s="108">
        <f t="shared" si="26"/>
        <v>84000</v>
      </c>
      <c r="P195" s="108">
        <f t="shared" si="27"/>
        <v>73980</v>
      </c>
      <c r="Q195" s="361">
        <f t="shared" si="28"/>
        <v>88.071428571428569</v>
      </c>
    </row>
    <row r="196" spans="2:17" x14ac:dyDescent="0.2">
      <c r="B196" s="18">
        <f t="shared" si="29"/>
        <v>89</v>
      </c>
      <c r="C196" s="6"/>
      <c r="D196" s="6"/>
      <c r="E196" s="6"/>
      <c r="F196" s="93"/>
      <c r="G196" s="5">
        <v>713</v>
      </c>
      <c r="H196" s="6" t="s">
        <v>218</v>
      </c>
      <c r="I196" s="10"/>
      <c r="J196" s="10"/>
      <c r="K196" s="361"/>
      <c r="L196" s="7">
        <f>SUM(L197:L198)</f>
        <v>123000</v>
      </c>
      <c r="M196" s="7">
        <f>SUM(M197:M198)</f>
        <v>122917</v>
      </c>
      <c r="N196" s="361">
        <f t="shared" si="31"/>
        <v>99.932520325203257</v>
      </c>
      <c r="O196" s="95">
        <f t="shared" si="26"/>
        <v>123000</v>
      </c>
      <c r="P196" s="95">
        <f t="shared" si="27"/>
        <v>122917</v>
      </c>
      <c r="Q196" s="361">
        <f t="shared" si="28"/>
        <v>99.932520325203257</v>
      </c>
    </row>
    <row r="197" spans="2:17" x14ac:dyDescent="0.2">
      <c r="B197" s="18">
        <f t="shared" si="29"/>
        <v>90</v>
      </c>
      <c r="C197" s="67"/>
      <c r="D197" s="67"/>
      <c r="E197" s="9"/>
      <c r="F197" s="106"/>
      <c r="G197" s="106"/>
      <c r="H197" s="9" t="s">
        <v>469</v>
      </c>
      <c r="I197" s="10"/>
      <c r="J197" s="10"/>
      <c r="K197" s="361"/>
      <c r="L197" s="10">
        <v>120000</v>
      </c>
      <c r="M197" s="10">
        <v>119917</v>
      </c>
      <c r="N197" s="361">
        <f t="shared" si="31"/>
        <v>99.930833333333339</v>
      </c>
      <c r="O197" s="108">
        <f t="shared" si="26"/>
        <v>120000</v>
      </c>
      <c r="P197" s="108">
        <f t="shared" si="27"/>
        <v>119917</v>
      </c>
      <c r="Q197" s="361">
        <f t="shared" si="28"/>
        <v>99.930833333333339</v>
      </c>
    </row>
    <row r="198" spans="2:17" x14ac:dyDescent="0.2">
      <c r="B198" s="18">
        <f t="shared" si="29"/>
        <v>91</v>
      </c>
      <c r="C198" s="67"/>
      <c r="D198" s="67"/>
      <c r="E198" s="9"/>
      <c r="F198" s="106"/>
      <c r="G198" s="106"/>
      <c r="H198" s="9" t="s">
        <v>567</v>
      </c>
      <c r="I198" s="10"/>
      <c r="J198" s="10"/>
      <c r="K198" s="361"/>
      <c r="L198" s="10">
        <v>3000</v>
      </c>
      <c r="M198" s="10">
        <v>3000</v>
      </c>
      <c r="N198" s="361">
        <f t="shared" si="31"/>
        <v>100</v>
      </c>
      <c r="O198" s="108">
        <f t="shared" si="26"/>
        <v>3000</v>
      </c>
      <c r="P198" s="108">
        <f t="shared" si="27"/>
        <v>3000</v>
      </c>
      <c r="Q198" s="361">
        <f t="shared" si="28"/>
        <v>100</v>
      </c>
    </row>
    <row r="199" spans="2:17" ht="15" x14ac:dyDescent="0.2">
      <c r="B199" s="18">
        <f t="shared" si="29"/>
        <v>92</v>
      </c>
      <c r="C199" s="82">
        <v>8</v>
      </c>
      <c r="D199" s="495" t="s">
        <v>245</v>
      </c>
      <c r="E199" s="496"/>
      <c r="F199" s="496"/>
      <c r="G199" s="496"/>
      <c r="H199" s="496"/>
      <c r="I199" s="83">
        <f>I200</f>
        <v>54325</v>
      </c>
      <c r="J199" s="83">
        <f>J200</f>
        <v>34868</v>
      </c>
      <c r="K199" s="361">
        <f>J199/I199*100</f>
        <v>64.184077312471231</v>
      </c>
      <c r="L199" s="83"/>
      <c r="M199" s="83"/>
      <c r="N199" s="361"/>
      <c r="O199" s="99">
        <f t="shared" si="26"/>
        <v>54325</v>
      </c>
      <c r="P199" s="99">
        <f t="shared" si="27"/>
        <v>34868</v>
      </c>
      <c r="Q199" s="361">
        <f t="shared" si="28"/>
        <v>64.184077312471231</v>
      </c>
    </row>
    <row r="200" spans="2:17" x14ac:dyDescent="0.2">
      <c r="B200" s="18">
        <f t="shared" si="29"/>
        <v>93</v>
      </c>
      <c r="C200" s="3"/>
      <c r="D200" s="3"/>
      <c r="E200" s="3"/>
      <c r="F200" s="90" t="s">
        <v>73</v>
      </c>
      <c r="G200" s="2">
        <v>630</v>
      </c>
      <c r="H200" s="3" t="s">
        <v>121</v>
      </c>
      <c r="I200" s="4">
        <f>I202+I201</f>
        <v>54325</v>
      </c>
      <c r="J200" s="4">
        <f>J202+J201</f>
        <v>34868</v>
      </c>
      <c r="K200" s="361">
        <f>J200/I200*100</f>
        <v>64.184077312471231</v>
      </c>
      <c r="L200" s="4"/>
      <c r="M200" s="4"/>
      <c r="N200" s="361"/>
      <c r="O200" s="92">
        <f t="shared" si="26"/>
        <v>54325</v>
      </c>
      <c r="P200" s="92">
        <f t="shared" si="27"/>
        <v>34868</v>
      </c>
      <c r="Q200" s="361">
        <f t="shared" si="28"/>
        <v>64.184077312471231</v>
      </c>
    </row>
    <row r="201" spans="2:17" x14ac:dyDescent="0.2">
      <c r="B201" s="18">
        <f t="shared" si="29"/>
        <v>94</v>
      </c>
      <c r="C201" s="6"/>
      <c r="D201" s="6"/>
      <c r="E201" s="6"/>
      <c r="F201" s="93"/>
      <c r="G201" s="5">
        <v>634</v>
      </c>
      <c r="H201" s="6" t="s">
        <v>132</v>
      </c>
      <c r="I201" s="7">
        <f>51500+500+600+870</f>
        <v>53470</v>
      </c>
      <c r="J201" s="7">
        <v>34124</v>
      </c>
      <c r="K201" s="361">
        <f>J201/I201*100</f>
        <v>63.818963904993453</v>
      </c>
      <c r="L201" s="7"/>
      <c r="M201" s="7"/>
      <c r="N201" s="361"/>
      <c r="O201" s="95">
        <f t="shared" si="26"/>
        <v>53470</v>
      </c>
      <c r="P201" s="95">
        <f t="shared" si="27"/>
        <v>34124</v>
      </c>
      <c r="Q201" s="361">
        <f t="shared" si="28"/>
        <v>63.818963904993453</v>
      </c>
    </row>
    <row r="202" spans="2:17" x14ac:dyDescent="0.2">
      <c r="B202" s="135">
        <f t="shared" si="29"/>
        <v>95</v>
      </c>
      <c r="C202" s="136"/>
      <c r="D202" s="136"/>
      <c r="E202" s="136"/>
      <c r="F202" s="137"/>
      <c r="G202" s="138">
        <v>637</v>
      </c>
      <c r="H202" s="136" t="s">
        <v>122</v>
      </c>
      <c r="I202" s="139">
        <f>800+55</f>
        <v>855</v>
      </c>
      <c r="J202" s="139">
        <v>744</v>
      </c>
      <c r="K202" s="361">
        <f>J202/I202*100</f>
        <v>87.017543859649123</v>
      </c>
      <c r="L202" s="139"/>
      <c r="M202" s="139"/>
      <c r="N202" s="361"/>
      <c r="O202" s="140">
        <f t="shared" si="26"/>
        <v>855</v>
      </c>
      <c r="P202" s="140">
        <f t="shared" si="27"/>
        <v>744</v>
      </c>
      <c r="Q202" s="361">
        <f t="shared" si="28"/>
        <v>87.017543859649123</v>
      </c>
    </row>
    <row r="203" spans="2:17" x14ac:dyDescent="0.2">
      <c r="B203" s="1"/>
      <c r="F203" s="1"/>
      <c r="G203" s="1"/>
      <c r="I203" s="1"/>
      <c r="J203" s="1"/>
      <c r="K203" s="1"/>
      <c r="L203" s="1"/>
      <c r="M203" s="1"/>
      <c r="N203" s="1"/>
      <c r="O203" s="1"/>
    </row>
    <row r="204" spans="2:17" x14ac:dyDescent="0.2">
      <c r="B204" s="1"/>
      <c r="F204" s="1"/>
      <c r="G204" s="1"/>
      <c r="I204" s="1"/>
      <c r="J204" s="1"/>
      <c r="K204" s="1"/>
      <c r="L204" s="1"/>
      <c r="M204" s="1"/>
      <c r="N204" s="1"/>
      <c r="O204" s="1"/>
    </row>
    <row r="205" spans="2:17" x14ac:dyDescent="0.2">
      <c r="B205" s="1"/>
      <c r="F205" s="1"/>
      <c r="G205" s="1"/>
      <c r="I205" s="1"/>
      <c r="J205" s="1"/>
      <c r="K205" s="1"/>
      <c r="L205" s="1"/>
      <c r="M205" s="1"/>
      <c r="N205" s="1"/>
      <c r="O205" s="1"/>
    </row>
    <row r="206" spans="2:17" x14ac:dyDescent="0.2">
      <c r="B206" s="1"/>
      <c r="F206" s="1"/>
      <c r="G206" s="1"/>
      <c r="I206" s="1"/>
      <c r="J206" s="1"/>
      <c r="K206" s="1"/>
      <c r="L206" s="1"/>
      <c r="M206" s="1"/>
      <c r="N206" s="1"/>
      <c r="O206" s="1"/>
    </row>
    <row r="207" spans="2:17" ht="27.75" x14ac:dyDescent="0.4">
      <c r="B207" s="530" t="s">
        <v>17</v>
      </c>
      <c r="C207" s="531"/>
      <c r="D207" s="531"/>
      <c r="E207" s="531"/>
      <c r="F207" s="531"/>
      <c r="G207" s="531"/>
      <c r="H207" s="531"/>
      <c r="I207" s="531"/>
      <c r="J207" s="531"/>
      <c r="K207" s="531"/>
      <c r="L207" s="531"/>
      <c r="M207" s="531"/>
      <c r="N207" s="531"/>
      <c r="O207" s="532"/>
    </row>
    <row r="208" spans="2:17" s="22" customFormat="1" ht="15" customHeight="1" x14ac:dyDescent="0.35">
      <c r="B208" s="509" t="s">
        <v>418</v>
      </c>
      <c r="C208" s="510"/>
      <c r="D208" s="510"/>
      <c r="E208" s="510"/>
      <c r="F208" s="510"/>
      <c r="G208" s="510"/>
      <c r="H208" s="510"/>
      <c r="I208" s="510"/>
      <c r="J208" s="510"/>
      <c r="K208" s="511"/>
      <c r="L208" s="510"/>
      <c r="M208" s="510"/>
      <c r="N208" s="511"/>
      <c r="O208" s="501" t="s">
        <v>741</v>
      </c>
      <c r="P208" s="512" t="s">
        <v>739</v>
      </c>
      <c r="Q208" s="514" t="s">
        <v>738</v>
      </c>
    </row>
    <row r="209" spans="2:17" s="22" customFormat="1" ht="12.75" customHeight="1" x14ac:dyDescent="0.2">
      <c r="B209" s="503"/>
      <c r="C209" s="504" t="s">
        <v>114</v>
      </c>
      <c r="D209" s="504" t="s">
        <v>115</v>
      </c>
      <c r="E209" s="504"/>
      <c r="F209" s="504" t="s">
        <v>116</v>
      </c>
      <c r="G209" s="506" t="s">
        <v>117</v>
      </c>
      <c r="H209" s="507" t="s">
        <v>118</v>
      </c>
      <c r="I209" s="508" t="s">
        <v>742</v>
      </c>
      <c r="J209" s="508" t="s">
        <v>744</v>
      </c>
      <c r="K209" s="517" t="s">
        <v>738</v>
      </c>
      <c r="L209" s="505" t="s">
        <v>743</v>
      </c>
      <c r="M209" s="508" t="s">
        <v>745</v>
      </c>
      <c r="N209" s="520" t="s">
        <v>738</v>
      </c>
      <c r="O209" s="502"/>
      <c r="P209" s="513"/>
      <c r="Q209" s="515"/>
    </row>
    <row r="210" spans="2:17" ht="12.75" customHeight="1" x14ac:dyDescent="0.2">
      <c r="B210" s="503"/>
      <c r="C210" s="504"/>
      <c r="D210" s="504"/>
      <c r="E210" s="504"/>
      <c r="F210" s="504"/>
      <c r="G210" s="506"/>
      <c r="H210" s="507"/>
      <c r="I210" s="508"/>
      <c r="J210" s="508"/>
      <c r="K210" s="518"/>
      <c r="L210" s="505"/>
      <c r="M210" s="508"/>
      <c r="N210" s="521"/>
      <c r="O210" s="502"/>
      <c r="P210" s="513"/>
      <c r="Q210" s="515"/>
    </row>
    <row r="211" spans="2:17" ht="12.75" customHeight="1" x14ac:dyDescent="0.2">
      <c r="B211" s="503"/>
      <c r="C211" s="504"/>
      <c r="D211" s="504"/>
      <c r="E211" s="504"/>
      <c r="F211" s="504"/>
      <c r="G211" s="506"/>
      <c r="H211" s="507"/>
      <c r="I211" s="508"/>
      <c r="J211" s="508"/>
      <c r="K211" s="518"/>
      <c r="L211" s="505"/>
      <c r="M211" s="508"/>
      <c r="N211" s="521"/>
      <c r="O211" s="502"/>
      <c r="P211" s="513"/>
      <c r="Q211" s="515"/>
    </row>
    <row r="212" spans="2:17" ht="12.75" customHeight="1" x14ac:dyDescent="0.2">
      <c r="B212" s="503"/>
      <c r="C212" s="504"/>
      <c r="D212" s="504"/>
      <c r="E212" s="504"/>
      <c r="F212" s="504"/>
      <c r="G212" s="506"/>
      <c r="H212" s="507"/>
      <c r="I212" s="508"/>
      <c r="J212" s="508"/>
      <c r="K212" s="519"/>
      <c r="L212" s="505"/>
      <c r="M212" s="508"/>
      <c r="N212" s="521"/>
      <c r="O212" s="502"/>
      <c r="P212" s="513"/>
      <c r="Q212" s="516"/>
    </row>
    <row r="213" spans="2:17" s="22" customFormat="1" ht="15.75" x14ac:dyDescent="0.2">
      <c r="B213" s="141">
        <v>1</v>
      </c>
      <c r="C213" s="533" t="s">
        <v>17</v>
      </c>
      <c r="D213" s="534"/>
      <c r="E213" s="534"/>
      <c r="F213" s="534"/>
      <c r="G213" s="534"/>
      <c r="H213" s="534"/>
      <c r="I213" s="142">
        <f>I278+I264+I253+I240+I231+I220+I214</f>
        <v>1043795</v>
      </c>
      <c r="J213" s="142">
        <f>J278+J264+J253+J240+J231+J220+J214</f>
        <v>903557</v>
      </c>
      <c r="K213" s="361">
        <f t="shared" ref="K213:K249" si="32">J213/I213*100</f>
        <v>86.564603202736166</v>
      </c>
      <c r="L213" s="142">
        <f>L278+L264+L253+L240+L231+L220+L214</f>
        <v>360260</v>
      </c>
      <c r="M213" s="142">
        <f>M278+M264+M253+M240+M231+M220+M214</f>
        <v>238965</v>
      </c>
      <c r="N213" s="361">
        <f>M213/L213*100</f>
        <v>66.331260756120585</v>
      </c>
      <c r="O213" s="143">
        <f t="shared" ref="O213:O244" si="33">I213+L213</f>
        <v>1404055</v>
      </c>
      <c r="P213" s="143">
        <f t="shared" ref="P213:P244" si="34">J213+M213</f>
        <v>1142522</v>
      </c>
      <c r="Q213" s="361">
        <f t="shared" ref="Q213:Q244" si="35">P213/O213*100</f>
        <v>81.373023136558047</v>
      </c>
    </row>
    <row r="214" spans="2:17" s="22" customFormat="1" ht="15" x14ac:dyDescent="0.2">
      <c r="B214" s="141">
        <f t="shared" ref="B214:B245" si="36">B213+1</f>
        <v>2</v>
      </c>
      <c r="C214" s="144">
        <v>1</v>
      </c>
      <c r="D214" s="528" t="s">
        <v>180</v>
      </c>
      <c r="E214" s="529"/>
      <c r="F214" s="529"/>
      <c r="G214" s="529"/>
      <c r="H214" s="529"/>
      <c r="I214" s="145">
        <f>I215+I216+I217</f>
        <v>49970</v>
      </c>
      <c r="J214" s="145">
        <f>J215+J216+J217</f>
        <v>43470</v>
      </c>
      <c r="K214" s="361">
        <f t="shared" si="32"/>
        <v>86.992195317190308</v>
      </c>
      <c r="L214" s="145"/>
      <c r="M214" s="145"/>
      <c r="N214" s="361"/>
      <c r="O214" s="146">
        <f t="shared" si="33"/>
        <v>49970</v>
      </c>
      <c r="P214" s="146">
        <f t="shared" si="34"/>
        <v>43470</v>
      </c>
      <c r="Q214" s="361">
        <f t="shared" si="35"/>
        <v>86.992195317190308</v>
      </c>
    </row>
    <row r="215" spans="2:17" x14ac:dyDescent="0.2">
      <c r="B215" s="141">
        <f t="shared" si="36"/>
        <v>3</v>
      </c>
      <c r="C215" s="147"/>
      <c r="D215" s="147"/>
      <c r="E215" s="147"/>
      <c r="F215" s="148" t="s">
        <v>74</v>
      </c>
      <c r="G215" s="149">
        <v>610</v>
      </c>
      <c r="H215" s="147" t="s">
        <v>131</v>
      </c>
      <c r="I215" s="150">
        <v>1000</v>
      </c>
      <c r="J215" s="150">
        <v>0</v>
      </c>
      <c r="K215" s="361">
        <f t="shared" si="32"/>
        <v>0</v>
      </c>
      <c r="L215" s="150"/>
      <c r="M215" s="150"/>
      <c r="N215" s="361"/>
      <c r="O215" s="151">
        <f t="shared" si="33"/>
        <v>1000</v>
      </c>
      <c r="P215" s="151">
        <f t="shared" si="34"/>
        <v>0</v>
      </c>
      <c r="Q215" s="361">
        <f t="shared" si="35"/>
        <v>0</v>
      </c>
    </row>
    <row r="216" spans="2:17" x14ac:dyDescent="0.2">
      <c r="B216" s="141">
        <f t="shared" si="36"/>
        <v>4</v>
      </c>
      <c r="C216" s="147"/>
      <c r="D216" s="147"/>
      <c r="E216" s="147"/>
      <c r="F216" s="148" t="s">
        <v>74</v>
      </c>
      <c r="G216" s="149">
        <v>620</v>
      </c>
      <c r="H216" s="147" t="s">
        <v>124</v>
      </c>
      <c r="I216" s="150">
        <v>7970</v>
      </c>
      <c r="J216" s="150">
        <v>7967</v>
      </c>
      <c r="K216" s="361">
        <f t="shared" si="32"/>
        <v>99.962358845671261</v>
      </c>
      <c r="L216" s="150"/>
      <c r="M216" s="150"/>
      <c r="N216" s="361"/>
      <c r="O216" s="151">
        <f t="shared" si="33"/>
        <v>7970</v>
      </c>
      <c r="P216" s="151">
        <f t="shared" si="34"/>
        <v>7967</v>
      </c>
      <c r="Q216" s="361">
        <f t="shared" si="35"/>
        <v>99.962358845671261</v>
      </c>
    </row>
    <row r="217" spans="2:17" x14ac:dyDescent="0.2">
      <c r="B217" s="141">
        <f t="shared" si="36"/>
        <v>5</v>
      </c>
      <c r="C217" s="147"/>
      <c r="D217" s="147"/>
      <c r="E217" s="147"/>
      <c r="F217" s="148" t="s">
        <v>74</v>
      </c>
      <c r="G217" s="149">
        <v>630</v>
      </c>
      <c r="H217" s="147" t="s">
        <v>121</v>
      </c>
      <c r="I217" s="150">
        <f>I218+I219</f>
        <v>41000</v>
      </c>
      <c r="J217" s="150">
        <f>J218+J219</f>
        <v>35503</v>
      </c>
      <c r="K217" s="361">
        <f t="shared" si="32"/>
        <v>86.592682926829269</v>
      </c>
      <c r="L217" s="150"/>
      <c r="M217" s="150"/>
      <c r="N217" s="361"/>
      <c r="O217" s="151">
        <f t="shared" si="33"/>
        <v>41000</v>
      </c>
      <c r="P217" s="151">
        <f t="shared" si="34"/>
        <v>35503</v>
      </c>
      <c r="Q217" s="361">
        <f t="shared" si="35"/>
        <v>86.592682926829269</v>
      </c>
    </row>
    <row r="218" spans="2:17" x14ac:dyDescent="0.2">
      <c r="B218" s="141">
        <f t="shared" si="36"/>
        <v>6</v>
      </c>
      <c r="C218" s="152"/>
      <c r="D218" s="152"/>
      <c r="E218" s="152"/>
      <c r="F218" s="153"/>
      <c r="G218" s="154">
        <v>633</v>
      </c>
      <c r="H218" s="152" t="s">
        <v>125</v>
      </c>
      <c r="I218" s="155">
        <v>5500</v>
      </c>
      <c r="J218" s="155">
        <v>4756</v>
      </c>
      <c r="K218" s="361">
        <f t="shared" si="32"/>
        <v>86.472727272727269</v>
      </c>
      <c r="L218" s="155"/>
      <c r="M218" s="155"/>
      <c r="N218" s="361"/>
      <c r="O218" s="156">
        <f t="shared" si="33"/>
        <v>5500</v>
      </c>
      <c r="P218" s="156">
        <f t="shared" si="34"/>
        <v>4756</v>
      </c>
      <c r="Q218" s="361">
        <f t="shared" si="35"/>
        <v>86.472727272727269</v>
      </c>
    </row>
    <row r="219" spans="2:17" x14ac:dyDescent="0.2">
      <c r="B219" s="141">
        <f t="shared" si="36"/>
        <v>7</v>
      </c>
      <c r="C219" s="152"/>
      <c r="D219" s="152"/>
      <c r="E219" s="152"/>
      <c r="F219" s="153"/>
      <c r="G219" s="154">
        <v>637</v>
      </c>
      <c r="H219" s="152" t="s">
        <v>122</v>
      </c>
      <c r="I219" s="155">
        <f>32500+3000</f>
        <v>35500</v>
      </c>
      <c r="J219" s="155">
        <v>30747</v>
      </c>
      <c r="K219" s="361">
        <f t="shared" si="32"/>
        <v>86.611267605633799</v>
      </c>
      <c r="L219" s="155"/>
      <c r="M219" s="155"/>
      <c r="N219" s="361"/>
      <c r="O219" s="156">
        <f t="shared" si="33"/>
        <v>35500</v>
      </c>
      <c r="P219" s="156">
        <f t="shared" si="34"/>
        <v>30747</v>
      </c>
      <c r="Q219" s="361">
        <f t="shared" si="35"/>
        <v>86.611267605633799</v>
      </c>
    </row>
    <row r="220" spans="2:17" ht="15" x14ac:dyDescent="0.2">
      <c r="B220" s="141">
        <f t="shared" si="36"/>
        <v>8</v>
      </c>
      <c r="C220" s="144">
        <v>2</v>
      </c>
      <c r="D220" s="528" t="s">
        <v>184</v>
      </c>
      <c r="E220" s="529"/>
      <c r="F220" s="529"/>
      <c r="G220" s="529"/>
      <c r="H220" s="529"/>
      <c r="I220" s="145">
        <f>I221+I222+I223+I229+I230</f>
        <v>212115</v>
      </c>
      <c r="J220" s="145">
        <f>J221+J222+J223+J229+J230</f>
        <v>190831</v>
      </c>
      <c r="K220" s="361">
        <f t="shared" si="32"/>
        <v>89.965820427598246</v>
      </c>
      <c r="L220" s="145"/>
      <c r="M220" s="145"/>
      <c r="N220" s="361"/>
      <c r="O220" s="146">
        <f t="shared" si="33"/>
        <v>212115</v>
      </c>
      <c r="P220" s="146">
        <f t="shared" si="34"/>
        <v>190831</v>
      </c>
      <c r="Q220" s="361">
        <f t="shared" si="35"/>
        <v>89.965820427598246</v>
      </c>
    </row>
    <row r="221" spans="2:17" x14ac:dyDescent="0.2">
      <c r="B221" s="141">
        <f t="shared" si="36"/>
        <v>9</v>
      </c>
      <c r="C221" s="147"/>
      <c r="D221" s="147"/>
      <c r="E221" s="147"/>
      <c r="F221" s="148" t="s">
        <v>183</v>
      </c>
      <c r="G221" s="149">
        <v>610</v>
      </c>
      <c r="H221" s="147" t="s">
        <v>131</v>
      </c>
      <c r="I221" s="150">
        <f>64400+11000+15000+8000+4000+1000</f>
        <v>103400</v>
      </c>
      <c r="J221" s="150">
        <v>97090</v>
      </c>
      <c r="K221" s="361">
        <f t="shared" si="32"/>
        <v>93.897485493230164</v>
      </c>
      <c r="L221" s="150"/>
      <c r="M221" s="150"/>
      <c r="N221" s="361"/>
      <c r="O221" s="151">
        <f t="shared" si="33"/>
        <v>103400</v>
      </c>
      <c r="P221" s="151">
        <f t="shared" si="34"/>
        <v>97090</v>
      </c>
      <c r="Q221" s="361">
        <f t="shared" si="35"/>
        <v>93.897485493230164</v>
      </c>
    </row>
    <row r="222" spans="2:17" x14ac:dyDescent="0.2">
      <c r="B222" s="141">
        <f t="shared" si="36"/>
        <v>10</v>
      </c>
      <c r="C222" s="147"/>
      <c r="D222" s="147"/>
      <c r="E222" s="147"/>
      <c r="F222" s="148" t="s">
        <v>183</v>
      </c>
      <c r="G222" s="149">
        <v>620</v>
      </c>
      <c r="H222" s="147" t="s">
        <v>124</v>
      </c>
      <c r="I222" s="150">
        <f>9000+2500+2500+9900+1000+2600+2000+4400+2500+3000+4000</f>
        <v>43400</v>
      </c>
      <c r="J222" s="150">
        <v>39622</v>
      </c>
      <c r="K222" s="361">
        <f t="shared" si="32"/>
        <v>91.294930875576043</v>
      </c>
      <c r="L222" s="150"/>
      <c r="M222" s="150"/>
      <c r="N222" s="361"/>
      <c r="O222" s="151">
        <f t="shared" si="33"/>
        <v>43400</v>
      </c>
      <c r="P222" s="151">
        <f t="shared" si="34"/>
        <v>39622</v>
      </c>
      <c r="Q222" s="361">
        <f t="shared" si="35"/>
        <v>91.294930875576043</v>
      </c>
    </row>
    <row r="223" spans="2:17" x14ac:dyDescent="0.2">
      <c r="B223" s="141">
        <f t="shared" si="36"/>
        <v>11</v>
      </c>
      <c r="C223" s="147"/>
      <c r="D223" s="147"/>
      <c r="E223" s="147"/>
      <c r="F223" s="148" t="s">
        <v>183</v>
      </c>
      <c r="G223" s="149">
        <v>630</v>
      </c>
      <c r="H223" s="147" t="s">
        <v>121</v>
      </c>
      <c r="I223" s="150">
        <f>I228+I227+I226+I225+I224</f>
        <v>26897</v>
      </c>
      <c r="J223" s="150">
        <f>J228+J227+J226+J225+J224</f>
        <v>18517</v>
      </c>
      <c r="K223" s="361">
        <f t="shared" si="32"/>
        <v>68.844109008439602</v>
      </c>
      <c r="L223" s="150"/>
      <c r="M223" s="150"/>
      <c r="N223" s="361"/>
      <c r="O223" s="151">
        <f t="shared" si="33"/>
        <v>26897</v>
      </c>
      <c r="P223" s="151">
        <f t="shared" si="34"/>
        <v>18517</v>
      </c>
      <c r="Q223" s="361">
        <f t="shared" si="35"/>
        <v>68.844109008439602</v>
      </c>
    </row>
    <row r="224" spans="2:17" x14ac:dyDescent="0.2">
      <c r="B224" s="141">
        <f t="shared" si="36"/>
        <v>12</v>
      </c>
      <c r="C224" s="152"/>
      <c r="D224" s="152"/>
      <c r="E224" s="152"/>
      <c r="F224" s="153"/>
      <c r="G224" s="154">
        <v>631</v>
      </c>
      <c r="H224" s="152" t="s">
        <v>127</v>
      </c>
      <c r="I224" s="155">
        <f>300</f>
        <v>300</v>
      </c>
      <c r="J224" s="155">
        <v>123</v>
      </c>
      <c r="K224" s="361">
        <f t="shared" si="32"/>
        <v>41</v>
      </c>
      <c r="L224" s="155"/>
      <c r="M224" s="155"/>
      <c r="N224" s="361"/>
      <c r="O224" s="156">
        <f t="shared" si="33"/>
        <v>300</v>
      </c>
      <c r="P224" s="156">
        <f t="shared" si="34"/>
        <v>123</v>
      </c>
      <c r="Q224" s="361">
        <f t="shared" si="35"/>
        <v>41</v>
      </c>
    </row>
    <row r="225" spans="2:17" x14ac:dyDescent="0.2">
      <c r="B225" s="141">
        <f t="shared" si="36"/>
        <v>13</v>
      </c>
      <c r="C225" s="152"/>
      <c r="D225" s="152"/>
      <c r="E225" s="152"/>
      <c r="F225" s="153"/>
      <c r="G225" s="154">
        <v>632</v>
      </c>
      <c r="H225" s="152" t="s">
        <v>134</v>
      </c>
      <c r="I225" s="155">
        <f>4000+1000-1000</f>
        <v>4000</v>
      </c>
      <c r="J225" s="155">
        <v>3738</v>
      </c>
      <c r="K225" s="361">
        <f t="shared" si="32"/>
        <v>93.45</v>
      </c>
      <c r="L225" s="155"/>
      <c r="M225" s="155"/>
      <c r="N225" s="361"/>
      <c r="O225" s="156">
        <f t="shared" si="33"/>
        <v>4000</v>
      </c>
      <c r="P225" s="156">
        <f t="shared" si="34"/>
        <v>3738</v>
      </c>
      <c r="Q225" s="361">
        <f t="shared" si="35"/>
        <v>93.45</v>
      </c>
    </row>
    <row r="226" spans="2:17" x14ac:dyDescent="0.2">
      <c r="B226" s="141">
        <f t="shared" si="36"/>
        <v>14</v>
      </c>
      <c r="C226" s="152"/>
      <c r="D226" s="152"/>
      <c r="E226" s="152"/>
      <c r="F226" s="153"/>
      <c r="G226" s="154">
        <v>633</v>
      </c>
      <c r="H226" s="152" t="s">
        <v>125</v>
      </c>
      <c r="I226" s="155">
        <f>7000+5000-4000</f>
        <v>8000</v>
      </c>
      <c r="J226" s="155">
        <v>5094</v>
      </c>
      <c r="K226" s="361">
        <f t="shared" si="32"/>
        <v>63.675000000000004</v>
      </c>
      <c r="L226" s="155"/>
      <c r="M226" s="155"/>
      <c r="N226" s="361"/>
      <c r="O226" s="156">
        <f t="shared" si="33"/>
        <v>8000</v>
      </c>
      <c r="P226" s="156">
        <f t="shared" si="34"/>
        <v>5094</v>
      </c>
      <c r="Q226" s="361">
        <f t="shared" si="35"/>
        <v>63.675000000000004</v>
      </c>
    </row>
    <row r="227" spans="2:17" x14ac:dyDescent="0.2">
      <c r="B227" s="141">
        <f t="shared" si="36"/>
        <v>15</v>
      </c>
      <c r="C227" s="152"/>
      <c r="D227" s="152"/>
      <c r="E227" s="152"/>
      <c r="F227" s="153"/>
      <c r="G227" s="154">
        <v>635</v>
      </c>
      <c r="H227" s="152" t="s">
        <v>133</v>
      </c>
      <c r="I227" s="155">
        <v>300</v>
      </c>
      <c r="J227" s="155">
        <v>0</v>
      </c>
      <c r="K227" s="361">
        <f t="shared" si="32"/>
        <v>0</v>
      </c>
      <c r="L227" s="155"/>
      <c r="M227" s="155"/>
      <c r="N227" s="361"/>
      <c r="O227" s="156">
        <f t="shared" si="33"/>
        <v>300</v>
      </c>
      <c r="P227" s="156">
        <f t="shared" si="34"/>
        <v>0</v>
      </c>
      <c r="Q227" s="361">
        <f t="shared" si="35"/>
        <v>0</v>
      </c>
    </row>
    <row r="228" spans="2:17" x14ac:dyDescent="0.2">
      <c r="B228" s="141">
        <f t="shared" si="36"/>
        <v>16</v>
      </c>
      <c r="C228" s="152"/>
      <c r="D228" s="152"/>
      <c r="E228" s="152"/>
      <c r="F228" s="153"/>
      <c r="G228" s="154">
        <v>637</v>
      </c>
      <c r="H228" s="152" t="s">
        <v>122</v>
      </c>
      <c r="I228" s="155">
        <f>2000+1000+1375+3000+1600+4000+5322-4000</f>
        <v>14297</v>
      </c>
      <c r="J228" s="155">
        <f>41280-J230</f>
        <v>9562</v>
      </c>
      <c r="K228" s="361">
        <f t="shared" si="32"/>
        <v>66.881163880534373</v>
      </c>
      <c r="L228" s="155"/>
      <c r="M228" s="155"/>
      <c r="N228" s="361"/>
      <c r="O228" s="156">
        <f t="shared" si="33"/>
        <v>14297</v>
      </c>
      <c r="P228" s="156">
        <f t="shared" si="34"/>
        <v>9562</v>
      </c>
      <c r="Q228" s="361">
        <f t="shared" si="35"/>
        <v>66.881163880534373</v>
      </c>
    </row>
    <row r="229" spans="2:17" x14ac:dyDescent="0.2">
      <c r="B229" s="141">
        <f t="shared" si="36"/>
        <v>17</v>
      </c>
      <c r="C229" s="147"/>
      <c r="D229" s="147"/>
      <c r="E229" s="147"/>
      <c r="F229" s="148" t="s">
        <v>183</v>
      </c>
      <c r="G229" s="149">
        <v>640</v>
      </c>
      <c r="H229" s="147" t="s">
        <v>129</v>
      </c>
      <c r="I229" s="150">
        <f>5700+1000</f>
        <v>6700</v>
      </c>
      <c r="J229" s="150">
        <v>3884</v>
      </c>
      <c r="K229" s="361">
        <f t="shared" si="32"/>
        <v>57.970149253731343</v>
      </c>
      <c r="L229" s="150"/>
      <c r="M229" s="150"/>
      <c r="N229" s="361"/>
      <c r="O229" s="151">
        <f t="shared" si="33"/>
        <v>6700</v>
      </c>
      <c r="P229" s="151">
        <f t="shared" si="34"/>
        <v>3884</v>
      </c>
      <c r="Q229" s="361">
        <f t="shared" si="35"/>
        <v>57.970149253731343</v>
      </c>
    </row>
    <row r="230" spans="2:17" x14ac:dyDescent="0.2">
      <c r="B230" s="141">
        <f t="shared" si="36"/>
        <v>18</v>
      </c>
      <c r="C230" s="147"/>
      <c r="D230" s="147"/>
      <c r="E230" s="147"/>
      <c r="F230" s="148"/>
      <c r="G230" s="149">
        <v>637</v>
      </c>
      <c r="H230" s="147" t="s">
        <v>615</v>
      </c>
      <c r="I230" s="150">
        <v>31718</v>
      </c>
      <c r="J230" s="150">
        <v>31718</v>
      </c>
      <c r="K230" s="361">
        <f t="shared" si="32"/>
        <v>100</v>
      </c>
      <c r="L230" s="150"/>
      <c r="M230" s="150"/>
      <c r="N230" s="361"/>
      <c r="O230" s="151">
        <f t="shared" si="33"/>
        <v>31718</v>
      </c>
      <c r="P230" s="151">
        <f t="shared" si="34"/>
        <v>31718</v>
      </c>
      <c r="Q230" s="361">
        <f t="shared" si="35"/>
        <v>100</v>
      </c>
    </row>
    <row r="231" spans="2:17" ht="15" x14ac:dyDescent="0.2">
      <c r="B231" s="141">
        <f t="shared" si="36"/>
        <v>19</v>
      </c>
      <c r="C231" s="144">
        <v>3</v>
      </c>
      <c r="D231" s="528" t="s">
        <v>170</v>
      </c>
      <c r="E231" s="529"/>
      <c r="F231" s="529"/>
      <c r="G231" s="529"/>
      <c r="H231" s="529"/>
      <c r="I231" s="145">
        <f>I232+I233+I234+I239</f>
        <v>330000</v>
      </c>
      <c r="J231" s="145">
        <f>J232+J233+J234+J239</f>
        <v>320016</v>
      </c>
      <c r="K231" s="361">
        <f t="shared" si="32"/>
        <v>96.974545454545463</v>
      </c>
      <c r="L231" s="145"/>
      <c r="M231" s="145"/>
      <c r="N231" s="361"/>
      <c r="O231" s="146">
        <f t="shared" si="33"/>
        <v>330000</v>
      </c>
      <c r="P231" s="146">
        <f t="shared" si="34"/>
        <v>320016</v>
      </c>
      <c r="Q231" s="361">
        <f t="shared" si="35"/>
        <v>96.974545454545463</v>
      </c>
    </row>
    <row r="232" spans="2:17" x14ac:dyDescent="0.2">
      <c r="B232" s="141">
        <f t="shared" si="36"/>
        <v>20</v>
      </c>
      <c r="C232" s="147"/>
      <c r="D232" s="147"/>
      <c r="E232" s="147"/>
      <c r="F232" s="148" t="s">
        <v>73</v>
      </c>
      <c r="G232" s="149">
        <v>610</v>
      </c>
      <c r="H232" s="147" t="s">
        <v>131</v>
      </c>
      <c r="I232" s="150">
        <f>222000-1600</f>
        <v>220400</v>
      </c>
      <c r="J232" s="150">
        <v>217977</v>
      </c>
      <c r="K232" s="361">
        <f t="shared" si="32"/>
        <v>98.900635208711435</v>
      </c>
      <c r="L232" s="150"/>
      <c r="M232" s="150"/>
      <c r="N232" s="361"/>
      <c r="O232" s="151">
        <f t="shared" si="33"/>
        <v>220400</v>
      </c>
      <c r="P232" s="151">
        <f t="shared" si="34"/>
        <v>217977</v>
      </c>
      <c r="Q232" s="361">
        <f t="shared" si="35"/>
        <v>98.900635208711435</v>
      </c>
    </row>
    <row r="233" spans="2:17" ht="13.5" customHeight="1" x14ac:dyDescent="0.2">
      <c r="B233" s="141">
        <f t="shared" si="36"/>
        <v>21</v>
      </c>
      <c r="C233" s="147"/>
      <c r="D233" s="147"/>
      <c r="E233" s="147"/>
      <c r="F233" s="148" t="s">
        <v>73</v>
      </c>
      <c r="G233" s="149">
        <v>620</v>
      </c>
      <c r="H233" s="147" t="s">
        <v>124</v>
      </c>
      <c r="I233" s="150">
        <f>83000+1600</f>
        <v>84600</v>
      </c>
      <c r="J233" s="150">
        <v>84029</v>
      </c>
      <c r="K233" s="361">
        <f t="shared" si="32"/>
        <v>99.325059101654844</v>
      </c>
      <c r="L233" s="150"/>
      <c r="M233" s="150"/>
      <c r="N233" s="361"/>
      <c r="O233" s="151">
        <f t="shared" si="33"/>
        <v>84600</v>
      </c>
      <c r="P233" s="151">
        <f t="shared" si="34"/>
        <v>84029</v>
      </c>
      <c r="Q233" s="361">
        <f t="shared" si="35"/>
        <v>99.325059101654844</v>
      </c>
    </row>
    <row r="234" spans="2:17" ht="12.75" customHeight="1" x14ac:dyDescent="0.2">
      <c r="B234" s="141">
        <f t="shared" si="36"/>
        <v>22</v>
      </c>
      <c r="C234" s="147"/>
      <c r="D234" s="147"/>
      <c r="E234" s="147"/>
      <c r="F234" s="148" t="s">
        <v>73</v>
      </c>
      <c r="G234" s="149">
        <v>630</v>
      </c>
      <c r="H234" s="147" t="s">
        <v>121</v>
      </c>
      <c r="I234" s="150">
        <f>I238+I237+I236+I235</f>
        <v>14600</v>
      </c>
      <c r="J234" s="150">
        <f>J238+J237+J236+J235</f>
        <v>9421</v>
      </c>
      <c r="K234" s="361">
        <f t="shared" si="32"/>
        <v>64.527397260273972</v>
      </c>
      <c r="L234" s="150"/>
      <c r="M234" s="150"/>
      <c r="N234" s="361"/>
      <c r="O234" s="151">
        <f t="shared" si="33"/>
        <v>14600</v>
      </c>
      <c r="P234" s="151">
        <f t="shared" si="34"/>
        <v>9421</v>
      </c>
      <c r="Q234" s="361">
        <f t="shared" si="35"/>
        <v>64.527397260273972</v>
      </c>
    </row>
    <row r="235" spans="2:17" x14ac:dyDescent="0.2">
      <c r="B235" s="141">
        <f t="shared" si="36"/>
        <v>23</v>
      </c>
      <c r="C235" s="152"/>
      <c r="D235" s="152"/>
      <c r="E235" s="152"/>
      <c r="F235" s="153"/>
      <c r="G235" s="154">
        <v>631</v>
      </c>
      <c r="H235" s="152" t="s">
        <v>127</v>
      </c>
      <c r="I235" s="155">
        <v>100</v>
      </c>
      <c r="J235" s="155">
        <v>0</v>
      </c>
      <c r="K235" s="361">
        <f t="shared" si="32"/>
        <v>0</v>
      </c>
      <c r="L235" s="155"/>
      <c r="M235" s="155"/>
      <c r="N235" s="361"/>
      <c r="O235" s="156">
        <f t="shared" si="33"/>
        <v>100</v>
      </c>
      <c r="P235" s="156">
        <f t="shared" si="34"/>
        <v>0</v>
      </c>
      <c r="Q235" s="361">
        <f t="shared" si="35"/>
        <v>0</v>
      </c>
    </row>
    <row r="236" spans="2:17" x14ac:dyDescent="0.2">
      <c r="B236" s="141">
        <f t="shared" si="36"/>
        <v>24</v>
      </c>
      <c r="C236" s="152"/>
      <c r="D236" s="152"/>
      <c r="E236" s="152"/>
      <c r="F236" s="153"/>
      <c r="G236" s="154">
        <v>632</v>
      </c>
      <c r="H236" s="152" t="s">
        <v>134</v>
      </c>
      <c r="I236" s="155">
        <v>2500</v>
      </c>
      <c r="J236" s="155">
        <v>1652</v>
      </c>
      <c r="K236" s="361">
        <f t="shared" si="32"/>
        <v>66.080000000000013</v>
      </c>
      <c r="L236" s="155"/>
      <c r="M236" s="155"/>
      <c r="N236" s="361"/>
      <c r="O236" s="156">
        <f t="shared" si="33"/>
        <v>2500</v>
      </c>
      <c r="P236" s="156">
        <f t="shared" si="34"/>
        <v>1652</v>
      </c>
      <c r="Q236" s="361">
        <f t="shared" si="35"/>
        <v>66.080000000000013</v>
      </c>
    </row>
    <row r="237" spans="2:17" x14ac:dyDescent="0.2">
      <c r="B237" s="141">
        <f t="shared" si="36"/>
        <v>25</v>
      </c>
      <c r="C237" s="152"/>
      <c r="D237" s="152"/>
      <c r="E237" s="152"/>
      <c r="F237" s="153"/>
      <c r="G237" s="154">
        <v>633</v>
      </c>
      <c r="H237" s="152" t="s">
        <v>125</v>
      </c>
      <c r="I237" s="155">
        <f>2500+300</f>
        <v>2800</v>
      </c>
      <c r="J237" s="155">
        <v>2350</v>
      </c>
      <c r="K237" s="361">
        <f t="shared" si="32"/>
        <v>83.928571428571431</v>
      </c>
      <c r="L237" s="155"/>
      <c r="M237" s="155"/>
      <c r="N237" s="361"/>
      <c r="O237" s="156">
        <f t="shared" si="33"/>
        <v>2800</v>
      </c>
      <c r="P237" s="156">
        <f t="shared" si="34"/>
        <v>2350</v>
      </c>
      <c r="Q237" s="361">
        <f t="shared" si="35"/>
        <v>83.928571428571431</v>
      </c>
    </row>
    <row r="238" spans="2:17" x14ac:dyDescent="0.2">
      <c r="B238" s="141">
        <f t="shared" si="36"/>
        <v>26</v>
      </c>
      <c r="C238" s="152"/>
      <c r="D238" s="152"/>
      <c r="E238" s="152"/>
      <c r="F238" s="153"/>
      <c r="G238" s="154">
        <v>637</v>
      </c>
      <c r="H238" s="152" t="s">
        <v>122</v>
      </c>
      <c r="I238" s="155">
        <f>9500-300</f>
        <v>9200</v>
      </c>
      <c r="J238" s="155">
        <v>5419</v>
      </c>
      <c r="K238" s="361">
        <f t="shared" si="32"/>
        <v>58.902173913043477</v>
      </c>
      <c r="L238" s="155"/>
      <c r="M238" s="155"/>
      <c r="N238" s="361"/>
      <c r="O238" s="156">
        <f t="shared" si="33"/>
        <v>9200</v>
      </c>
      <c r="P238" s="156">
        <f t="shared" si="34"/>
        <v>5419</v>
      </c>
      <c r="Q238" s="361">
        <f t="shared" si="35"/>
        <v>58.902173913043477</v>
      </c>
    </row>
    <row r="239" spans="2:17" x14ac:dyDescent="0.2">
      <c r="B239" s="141">
        <f t="shared" si="36"/>
        <v>27</v>
      </c>
      <c r="C239" s="147"/>
      <c r="D239" s="147"/>
      <c r="E239" s="147"/>
      <c r="F239" s="148" t="s">
        <v>73</v>
      </c>
      <c r="G239" s="149">
        <v>640</v>
      </c>
      <c r="H239" s="147" t="s">
        <v>129</v>
      </c>
      <c r="I239" s="150">
        <v>10400</v>
      </c>
      <c r="J239" s="150">
        <v>8589</v>
      </c>
      <c r="K239" s="361">
        <f t="shared" si="32"/>
        <v>82.586538461538467</v>
      </c>
      <c r="L239" s="150"/>
      <c r="M239" s="150"/>
      <c r="N239" s="361"/>
      <c r="O239" s="151">
        <f t="shared" si="33"/>
        <v>10400</v>
      </c>
      <c r="P239" s="151">
        <f t="shared" si="34"/>
        <v>8589</v>
      </c>
      <c r="Q239" s="361">
        <f t="shared" si="35"/>
        <v>82.586538461538467</v>
      </c>
    </row>
    <row r="240" spans="2:17" ht="15" x14ac:dyDescent="0.2">
      <c r="B240" s="141">
        <f t="shared" si="36"/>
        <v>28</v>
      </c>
      <c r="C240" s="144">
        <v>4</v>
      </c>
      <c r="D240" s="528" t="s">
        <v>43</v>
      </c>
      <c r="E240" s="529"/>
      <c r="F240" s="529"/>
      <c r="G240" s="529"/>
      <c r="H240" s="529"/>
      <c r="I240" s="145">
        <f>I241</f>
        <v>89225</v>
      </c>
      <c r="J240" s="145">
        <f>J241</f>
        <v>66227</v>
      </c>
      <c r="K240" s="361">
        <f t="shared" si="32"/>
        <v>74.22471280470721</v>
      </c>
      <c r="L240" s="145">
        <f>L241</f>
        <v>5000</v>
      </c>
      <c r="M240" s="145">
        <f>M241</f>
        <v>5000</v>
      </c>
      <c r="N240" s="361">
        <f>M240/L240*100</f>
        <v>100</v>
      </c>
      <c r="O240" s="146">
        <f t="shared" si="33"/>
        <v>94225</v>
      </c>
      <c r="P240" s="146">
        <f t="shared" si="34"/>
        <v>71227</v>
      </c>
      <c r="Q240" s="361">
        <f t="shared" si="35"/>
        <v>75.592464844786406</v>
      </c>
    </row>
    <row r="241" spans="2:17" ht="15" x14ac:dyDescent="0.25">
      <c r="B241" s="141">
        <f t="shared" si="36"/>
        <v>29</v>
      </c>
      <c r="C241" s="157"/>
      <c r="D241" s="157"/>
      <c r="E241" s="157">
        <v>2</v>
      </c>
      <c r="F241" s="158"/>
      <c r="G241" s="158"/>
      <c r="H241" s="157" t="s">
        <v>11</v>
      </c>
      <c r="I241" s="159">
        <f>I242+I243+I244+I249</f>
        <v>89225</v>
      </c>
      <c r="J241" s="159">
        <f>J242+J243+J244+J249</f>
        <v>66227</v>
      </c>
      <c r="K241" s="361">
        <f t="shared" si="32"/>
        <v>74.22471280470721</v>
      </c>
      <c r="L241" s="159">
        <f>L250</f>
        <v>5000</v>
      </c>
      <c r="M241" s="159">
        <f>M250</f>
        <v>5000</v>
      </c>
      <c r="N241" s="361">
        <f>M241/L241*100</f>
        <v>100</v>
      </c>
      <c r="O241" s="160">
        <f t="shared" si="33"/>
        <v>94225</v>
      </c>
      <c r="P241" s="160">
        <f t="shared" si="34"/>
        <v>71227</v>
      </c>
      <c r="Q241" s="361">
        <f t="shared" si="35"/>
        <v>75.592464844786406</v>
      </c>
    </row>
    <row r="242" spans="2:17" x14ac:dyDescent="0.2">
      <c r="B242" s="141">
        <f t="shared" si="36"/>
        <v>30</v>
      </c>
      <c r="C242" s="147"/>
      <c r="D242" s="147"/>
      <c r="E242" s="147"/>
      <c r="F242" s="148" t="s">
        <v>153</v>
      </c>
      <c r="G242" s="149">
        <v>610</v>
      </c>
      <c r="H242" s="147" t="s">
        <v>131</v>
      </c>
      <c r="I242" s="150">
        <v>41100</v>
      </c>
      <c r="J242" s="150">
        <v>38019</v>
      </c>
      <c r="K242" s="361">
        <f t="shared" si="32"/>
        <v>92.503649635036496</v>
      </c>
      <c r="L242" s="150"/>
      <c r="M242" s="150"/>
      <c r="N242" s="361"/>
      <c r="O242" s="151">
        <f t="shared" si="33"/>
        <v>41100</v>
      </c>
      <c r="P242" s="151">
        <f t="shared" si="34"/>
        <v>38019</v>
      </c>
      <c r="Q242" s="361">
        <f t="shared" si="35"/>
        <v>92.503649635036496</v>
      </c>
    </row>
    <row r="243" spans="2:17" x14ac:dyDescent="0.2">
      <c r="B243" s="141">
        <f t="shared" si="36"/>
        <v>31</v>
      </c>
      <c r="C243" s="147"/>
      <c r="D243" s="147"/>
      <c r="E243" s="147"/>
      <c r="F243" s="148" t="s">
        <v>153</v>
      </c>
      <c r="G243" s="149">
        <v>620</v>
      </c>
      <c r="H243" s="147" t="s">
        <v>124</v>
      </c>
      <c r="I243" s="150">
        <v>15225</v>
      </c>
      <c r="J243" s="150">
        <v>13238</v>
      </c>
      <c r="K243" s="361">
        <f t="shared" si="32"/>
        <v>86.949096880131364</v>
      </c>
      <c r="L243" s="150"/>
      <c r="M243" s="150"/>
      <c r="N243" s="361"/>
      <c r="O243" s="151">
        <f t="shared" si="33"/>
        <v>15225</v>
      </c>
      <c r="P243" s="151">
        <f t="shared" si="34"/>
        <v>13238</v>
      </c>
      <c r="Q243" s="361">
        <f t="shared" si="35"/>
        <v>86.949096880131364</v>
      </c>
    </row>
    <row r="244" spans="2:17" x14ac:dyDescent="0.2">
      <c r="B244" s="141">
        <f t="shared" si="36"/>
        <v>32</v>
      </c>
      <c r="C244" s="147"/>
      <c r="D244" s="147"/>
      <c r="E244" s="147"/>
      <c r="F244" s="148" t="s">
        <v>153</v>
      </c>
      <c r="G244" s="149">
        <v>630</v>
      </c>
      <c r="H244" s="147" t="s">
        <v>121</v>
      </c>
      <c r="I244" s="150">
        <f>I248+I247+I246+I245</f>
        <v>29800</v>
      </c>
      <c r="J244" s="150">
        <f>J248+J247+J246+J245</f>
        <v>12550</v>
      </c>
      <c r="K244" s="361">
        <f t="shared" si="32"/>
        <v>42.114093959731541</v>
      </c>
      <c r="L244" s="150"/>
      <c r="M244" s="150"/>
      <c r="N244" s="361"/>
      <c r="O244" s="151">
        <f t="shared" si="33"/>
        <v>29800</v>
      </c>
      <c r="P244" s="151">
        <f t="shared" si="34"/>
        <v>12550</v>
      </c>
      <c r="Q244" s="361">
        <f t="shared" si="35"/>
        <v>42.114093959731541</v>
      </c>
    </row>
    <row r="245" spans="2:17" x14ac:dyDescent="0.2">
      <c r="B245" s="141">
        <f t="shared" si="36"/>
        <v>33</v>
      </c>
      <c r="C245" s="152"/>
      <c r="D245" s="152"/>
      <c r="E245" s="152"/>
      <c r="F245" s="153"/>
      <c r="G245" s="154">
        <v>632</v>
      </c>
      <c r="H245" s="152" t="s">
        <v>134</v>
      </c>
      <c r="I245" s="155">
        <f>11500+2500</f>
        <v>14000</v>
      </c>
      <c r="J245" s="155">
        <v>7152</v>
      </c>
      <c r="K245" s="361">
        <f t="shared" si="32"/>
        <v>51.085714285714289</v>
      </c>
      <c r="L245" s="155"/>
      <c r="M245" s="155"/>
      <c r="N245" s="361"/>
      <c r="O245" s="156">
        <f t="shared" ref="O245:O273" si="37">I245+L245</f>
        <v>14000</v>
      </c>
      <c r="P245" s="156">
        <f t="shared" ref="P245:P273" si="38">J245+M245</f>
        <v>7152</v>
      </c>
      <c r="Q245" s="361">
        <f t="shared" ref="Q245:Q276" si="39">P245/O245*100</f>
        <v>51.085714285714289</v>
      </c>
    </row>
    <row r="246" spans="2:17" x14ac:dyDescent="0.2">
      <c r="B246" s="141">
        <f t="shared" ref="B246:B277" si="40">B245+1</f>
        <v>34</v>
      </c>
      <c r="C246" s="152"/>
      <c r="D246" s="152"/>
      <c r="E246" s="152"/>
      <c r="F246" s="153"/>
      <c r="G246" s="154">
        <v>633</v>
      </c>
      <c r="H246" s="152" t="s">
        <v>125</v>
      </c>
      <c r="I246" s="155">
        <f>1000+2500+300</f>
        <v>3800</v>
      </c>
      <c r="J246" s="155">
        <v>2298</v>
      </c>
      <c r="K246" s="361">
        <f t="shared" si="32"/>
        <v>60.473684210526315</v>
      </c>
      <c r="L246" s="155"/>
      <c r="M246" s="155"/>
      <c r="N246" s="361"/>
      <c r="O246" s="156">
        <f t="shared" si="37"/>
        <v>3800</v>
      </c>
      <c r="P246" s="156">
        <f t="shared" si="38"/>
        <v>2298</v>
      </c>
      <c r="Q246" s="361">
        <f t="shared" si="39"/>
        <v>60.473684210526315</v>
      </c>
    </row>
    <row r="247" spans="2:17" x14ac:dyDescent="0.2">
      <c r="B247" s="141">
        <f t="shared" si="40"/>
        <v>35</v>
      </c>
      <c r="C247" s="152"/>
      <c r="D247" s="152"/>
      <c r="E247" s="152"/>
      <c r="F247" s="153"/>
      <c r="G247" s="154">
        <v>635</v>
      </c>
      <c r="H247" s="152" t="s">
        <v>133</v>
      </c>
      <c r="I247" s="155">
        <f>9500-730</f>
        <v>8770</v>
      </c>
      <c r="J247" s="155">
        <v>1943</v>
      </c>
      <c r="K247" s="361">
        <f t="shared" si="32"/>
        <v>22.155074116305588</v>
      </c>
      <c r="L247" s="155"/>
      <c r="M247" s="155"/>
      <c r="N247" s="361"/>
      <c r="O247" s="156">
        <f t="shared" si="37"/>
        <v>8770</v>
      </c>
      <c r="P247" s="156">
        <f t="shared" si="38"/>
        <v>1943</v>
      </c>
      <c r="Q247" s="361">
        <f t="shared" si="39"/>
        <v>22.155074116305588</v>
      </c>
    </row>
    <row r="248" spans="2:17" x14ac:dyDescent="0.2">
      <c r="B248" s="141">
        <f t="shared" si="40"/>
        <v>36</v>
      </c>
      <c r="C248" s="152"/>
      <c r="D248" s="152"/>
      <c r="E248" s="152"/>
      <c r="F248" s="153"/>
      <c r="G248" s="154">
        <v>637</v>
      </c>
      <c r="H248" s="152" t="s">
        <v>122</v>
      </c>
      <c r="I248" s="155">
        <f>2500+730</f>
        <v>3230</v>
      </c>
      <c r="J248" s="155">
        <v>1157</v>
      </c>
      <c r="K248" s="361">
        <f t="shared" si="32"/>
        <v>35.820433436532504</v>
      </c>
      <c r="L248" s="155"/>
      <c r="M248" s="155"/>
      <c r="N248" s="361"/>
      <c r="O248" s="156">
        <f t="shared" si="37"/>
        <v>3230</v>
      </c>
      <c r="P248" s="156">
        <f t="shared" si="38"/>
        <v>1157</v>
      </c>
      <c r="Q248" s="361">
        <f t="shared" si="39"/>
        <v>35.820433436532504</v>
      </c>
    </row>
    <row r="249" spans="2:17" x14ac:dyDescent="0.2">
      <c r="B249" s="141">
        <f t="shared" si="40"/>
        <v>37</v>
      </c>
      <c r="C249" s="147"/>
      <c r="D249" s="147"/>
      <c r="E249" s="147"/>
      <c r="F249" s="148" t="s">
        <v>153</v>
      </c>
      <c r="G249" s="149">
        <v>640</v>
      </c>
      <c r="H249" s="147" t="s">
        <v>129</v>
      </c>
      <c r="I249" s="150">
        <f>2100+700+300</f>
        <v>3100</v>
      </c>
      <c r="J249" s="150">
        <v>2420</v>
      </c>
      <c r="K249" s="361">
        <f t="shared" si="32"/>
        <v>78.064516129032256</v>
      </c>
      <c r="L249" s="150"/>
      <c r="M249" s="150"/>
      <c r="N249" s="361"/>
      <c r="O249" s="151">
        <f t="shared" si="37"/>
        <v>3100</v>
      </c>
      <c r="P249" s="151">
        <f t="shared" si="38"/>
        <v>2420</v>
      </c>
      <c r="Q249" s="361">
        <f t="shared" si="39"/>
        <v>78.064516129032256</v>
      </c>
    </row>
    <row r="250" spans="2:17" x14ac:dyDescent="0.2">
      <c r="B250" s="141">
        <f t="shared" si="40"/>
        <v>38</v>
      </c>
      <c r="C250" s="147"/>
      <c r="D250" s="147"/>
      <c r="E250" s="147"/>
      <c r="F250" s="148" t="s">
        <v>153</v>
      </c>
      <c r="G250" s="149">
        <v>710</v>
      </c>
      <c r="H250" s="147" t="s">
        <v>175</v>
      </c>
      <c r="I250" s="150"/>
      <c r="J250" s="150"/>
      <c r="K250" s="361"/>
      <c r="L250" s="150">
        <f>L251</f>
        <v>5000</v>
      </c>
      <c r="M250" s="150">
        <f>M251</f>
        <v>5000</v>
      </c>
      <c r="N250" s="361">
        <f>M250/L250*100</f>
        <v>100</v>
      </c>
      <c r="O250" s="151">
        <f t="shared" si="37"/>
        <v>5000</v>
      </c>
      <c r="P250" s="151">
        <f t="shared" si="38"/>
        <v>5000</v>
      </c>
      <c r="Q250" s="361">
        <f t="shared" si="39"/>
        <v>100</v>
      </c>
    </row>
    <row r="251" spans="2:17" x14ac:dyDescent="0.2">
      <c r="B251" s="141">
        <f t="shared" si="40"/>
        <v>39</v>
      </c>
      <c r="C251" s="161"/>
      <c r="D251" s="161"/>
      <c r="E251" s="161"/>
      <c r="F251" s="162"/>
      <c r="G251" s="154">
        <v>716</v>
      </c>
      <c r="H251" s="152" t="s">
        <v>215</v>
      </c>
      <c r="I251" s="155"/>
      <c r="J251" s="155"/>
      <c r="K251" s="361"/>
      <c r="L251" s="155">
        <f>L252</f>
        <v>5000</v>
      </c>
      <c r="M251" s="155">
        <f>M252</f>
        <v>5000</v>
      </c>
      <c r="N251" s="361">
        <f>M251/L251*100</f>
        <v>100</v>
      </c>
      <c r="O251" s="156">
        <f t="shared" si="37"/>
        <v>5000</v>
      </c>
      <c r="P251" s="156">
        <f t="shared" si="38"/>
        <v>5000</v>
      </c>
      <c r="Q251" s="361">
        <f t="shared" si="39"/>
        <v>100</v>
      </c>
    </row>
    <row r="252" spans="2:17" x14ac:dyDescent="0.2">
      <c r="B252" s="141">
        <f t="shared" si="40"/>
        <v>40</v>
      </c>
      <c r="C252" s="161"/>
      <c r="D252" s="161"/>
      <c r="E252" s="161"/>
      <c r="F252" s="162"/>
      <c r="G252" s="163"/>
      <c r="H252" s="161" t="s">
        <v>501</v>
      </c>
      <c r="I252" s="164"/>
      <c r="J252" s="164"/>
      <c r="K252" s="361"/>
      <c r="L252" s="164">
        <v>5000</v>
      </c>
      <c r="M252" s="164">
        <v>5000</v>
      </c>
      <c r="N252" s="361">
        <f>M252/L252*100</f>
        <v>100</v>
      </c>
      <c r="O252" s="165">
        <f t="shared" si="37"/>
        <v>5000</v>
      </c>
      <c r="P252" s="165">
        <f t="shared" si="38"/>
        <v>5000</v>
      </c>
      <c r="Q252" s="361">
        <f t="shared" si="39"/>
        <v>100</v>
      </c>
    </row>
    <row r="253" spans="2:17" ht="15" x14ac:dyDescent="0.2">
      <c r="B253" s="141">
        <f t="shared" si="40"/>
        <v>41</v>
      </c>
      <c r="C253" s="144">
        <v>5</v>
      </c>
      <c r="D253" s="528" t="s">
        <v>216</v>
      </c>
      <c r="E253" s="529"/>
      <c r="F253" s="529"/>
      <c r="G253" s="529"/>
      <c r="H253" s="529"/>
      <c r="I253" s="145">
        <f>I254</f>
        <v>106900</v>
      </c>
      <c r="J253" s="145">
        <f>J254</f>
        <v>87425</v>
      </c>
      <c r="K253" s="361">
        <f t="shared" ref="K253:K269" si="41">J253/I253*100</f>
        <v>81.782039289055191</v>
      </c>
      <c r="L253" s="145"/>
      <c r="M253" s="145"/>
      <c r="N253" s="361"/>
      <c r="O253" s="146">
        <f t="shared" si="37"/>
        <v>106900</v>
      </c>
      <c r="P253" s="146">
        <f t="shared" si="38"/>
        <v>87425</v>
      </c>
      <c r="Q253" s="361">
        <f t="shared" si="39"/>
        <v>81.782039289055191</v>
      </c>
    </row>
    <row r="254" spans="2:17" ht="15" x14ac:dyDescent="0.25">
      <c r="B254" s="141">
        <f t="shared" si="40"/>
        <v>42</v>
      </c>
      <c r="C254" s="166"/>
      <c r="D254" s="166"/>
      <c r="E254" s="166">
        <v>2</v>
      </c>
      <c r="F254" s="167"/>
      <c r="G254" s="167"/>
      <c r="H254" s="157" t="s">
        <v>11</v>
      </c>
      <c r="I254" s="168">
        <f>I255+I256+I257+I263</f>
        <v>106900</v>
      </c>
      <c r="J254" s="168">
        <f>J255+J256+J257+J263</f>
        <v>87425</v>
      </c>
      <c r="K254" s="361">
        <f t="shared" si="41"/>
        <v>81.782039289055191</v>
      </c>
      <c r="L254" s="168"/>
      <c r="M254" s="168"/>
      <c r="N254" s="361"/>
      <c r="O254" s="169">
        <f t="shared" si="37"/>
        <v>106900</v>
      </c>
      <c r="P254" s="169">
        <f t="shared" si="38"/>
        <v>87425</v>
      </c>
      <c r="Q254" s="361">
        <f t="shared" si="39"/>
        <v>81.782039289055191</v>
      </c>
    </row>
    <row r="255" spans="2:17" x14ac:dyDescent="0.2">
      <c r="B255" s="141">
        <f t="shared" si="40"/>
        <v>43</v>
      </c>
      <c r="C255" s="147"/>
      <c r="D255" s="147"/>
      <c r="E255" s="147"/>
      <c r="F255" s="148" t="s">
        <v>183</v>
      </c>
      <c r="G255" s="149">
        <v>610</v>
      </c>
      <c r="H255" s="147" t="s">
        <v>131</v>
      </c>
      <c r="I255" s="150">
        <v>29100</v>
      </c>
      <c r="J255" s="150">
        <v>28937</v>
      </c>
      <c r="K255" s="361">
        <f t="shared" si="41"/>
        <v>99.439862542955325</v>
      </c>
      <c r="L255" s="150"/>
      <c r="M255" s="150"/>
      <c r="N255" s="361"/>
      <c r="O255" s="151">
        <f t="shared" si="37"/>
        <v>29100</v>
      </c>
      <c r="P255" s="151">
        <f t="shared" si="38"/>
        <v>28937</v>
      </c>
      <c r="Q255" s="361">
        <f t="shared" si="39"/>
        <v>99.439862542955325</v>
      </c>
    </row>
    <row r="256" spans="2:17" x14ac:dyDescent="0.2">
      <c r="B256" s="141">
        <f t="shared" si="40"/>
        <v>44</v>
      </c>
      <c r="C256" s="147"/>
      <c r="D256" s="147"/>
      <c r="E256" s="147"/>
      <c r="F256" s="148" t="s">
        <v>183</v>
      </c>
      <c r="G256" s="149">
        <v>620</v>
      </c>
      <c r="H256" s="147" t="s">
        <v>124</v>
      </c>
      <c r="I256" s="150">
        <v>12795</v>
      </c>
      <c r="J256" s="150">
        <v>11535</v>
      </c>
      <c r="K256" s="361">
        <f t="shared" si="41"/>
        <v>90.152403282532234</v>
      </c>
      <c r="L256" s="150"/>
      <c r="M256" s="150"/>
      <c r="N256" s="361"/>
      <c r="O256" s="151">
        <f t="shared" si="37"/>
        <v>12795</v>
      </c>
      <c r="P256" s="151">
        <f t="shared" si="38"/>
        <v>11535</v>
      </c>
      <c r="Q256" s="361">
        <f t="shared" si="39"/>
        <v>90.152403282532234</v>
      </c>
    </row>
    <row r="257" spans="2:17" x14ac:dyDescent="0.2">
      <c r="B257" s="141">
        <f t="shared" si="40"/>
        <v>45</v>
      </c>
      <c r="C257" s="147"/>
      <c r="D257" s="147"/>
      <c r="E257" s="147"/>
      <c r="F257" s="148" t="s">
        <v>183</v>
      </c>
      <c r="G257" s="149">
        <v>630</v>
      </c>
      <c r="H257" s="147" t="s">
        <v>121</v>
      </c>
      <c r="I257" s="150">
        <f>I262+I261+I260+I259+I258</f>
        <v>62705</v>
      </c>
      <c r="J257" s="150">
        <f>J262+J261+J260+J259+J258</f>
        <v>45193</v>
      </c>
      <c r="K257" s="361">
        <f t="shared" si="41"/>
        <v>72.072402519735263</v>
      </c>
      <c r="L257" s="150"/>
      <c r="M257" s="150"/>
      <c r="N257" s="361"/>
      <c r="O257" s="151">
        <f t="shared" si="37"/>
        <v>62705</v>
      </c>
      <c r="P257" s="151">
        <f t="shared" si="38"/>
        <v>45193</v>
      </c>
      <c r="Q257" s="361">
        <f t="shared" si="39"/>
        <v>72.072402519735263</v>
      </c>
    </row>
    <row r="258" spans="2:17" x14ac:dyDescent="0.2">
      <c r="B258" s="141">
        <f t="shared" si="40"/>
        <v>46</v>
      </c>
      <c r="C258" s="152"/>
      <c r="D258" s="152"/>
      <c r="E258" s="152"/>
      <c r="F258" s="153"/>
      <c r="G258" s="154">
        <v>632</v>
      </c>
      <c r="H258" s="152" t="s">
        <v>134</v>
      </c>
      <c r="I258" s="155">
        <v>8905</v>
      </c>
      <c r="J258" s="155">
        <v>3305</v>
      </c>
      <c r="K258" s="361">
        <f t="shared" si="41"/>
        <v>37.113980909601345</v>
      </c>
      <c r="L258" s="155"/>
      <c r="M258" s="155"/>
      <c r="N258" s="361"/>
      <c r="O258" s="156">
        <f t="shared" si="37"/>
        <v>8905</v>
      </c>
      <c r="P258" s="156">
        <f t="shared" si="38"/>
        <v>3305</v>
      </c>
      <c r="Q258" s="361">
        <f t="shared" si="39"/>
        <v>37.113980909601345</v>
      </c>
    </row>
    <row r="259" spans="2:17" x14ac:dyDescent="0.2">
      <c r="B259" s="141">
        <f t="shared" si="40"/>
        <v>47</v>
      </c>
      <c r="C259" s="152"/>
      <c r="D259" s="152"/>
      <c r="E259" s="152"/>
      <c r="F259" s="153"/>
      <c r="G259" s="154">
        <v>633</v>
      </c>
      <c r="H259" s="152" t="s">
        <v>125</v>
      </c>
      <c r="I259" s="155">
        <f>1800+21000</f>
        <v>22800</v>
      </c>
      <c r="J259" s="155">
        <v>20723</v>
      </c>
      <c r="K259" s="361">
        <f t="shared" si="41"/>
        <v>90.890350877192986</v>
      </c>
      <c r="L259" s="155"/>
      <c r="M259" s="155"/>
      <c r="N259" s="361"/>
      <c r="O259" s="156">
        <f t="shared" si="37"/>
        <v>22800</v>
      </c>
      <c r="P259" s="156">
        <f t="shared" si="38"/>
        <v>20723</v>
      </c>
      <c r="Q259" s="361">
        <f t="shared" si="39"/>
        <v>90.890350877192986</v>
      </c>
    </row>
    <row r="260" spans="2:17" x14ac:dyDescent="0.2">
      <c r="B260" s="141">
        <f t="shared" si="40"/>
        <v>48</v>
      </c>
      <c r="C260" s="152"/>
      <c r="D260" s="152"/>
      <c r="E260" s="152"/>
      <c r="F260" s="153"/>
      <c r="G260" s="154">
        <v>635</v>
      </c>
      <c r="H260" s="152" t="s">
        <v>133</v>
      </c>
      <c r="I260" s="155">
        <f>200+200</f>
        <v>400</v>
      </c>
      <c r="J260" s="155">
        <v>83</v>
      </c>
      <c r="K260" s="361">
        <f t="shared" si="41"/>
        <v>20.75</v>
      </c>
      <c r="L260" s="155"/>
      <c r="M260" s="155"/>
      <c r="N260" s="361"/>
      <c r="O260" s="156">
        <f t="shared" si="37"/>
        <v>400</v>
      </c>
      <c r="P260" s="156">
        <f t="shared" si="38"/>
        <v>83</v>
      </c>
      <c r="Q260" s="361">
        <f t="shared" si="39"/>
        <v>20.75</v>
      </c>
    </row>
    <row r="261" spans="2:17" x14ac:dyDescent="0.2">
      <c r="B261" s="141">
        <f t="shared" si="40"/>
        <v>49</v>
      </c>
      <c r="C261" s="152"/>
      <c r="D261" s="152"/>
      <c r="E261" s="152"/>
      <c r="F261" s="153"/>
      <c r="G261" s="154">
        <v>636</v>
      </c>
      <c r="H261" s="152" t="s">
        <v>126</v>
      </c>
      <c r="I261" s="155">
        <f>2000+2700-1500</f>
        <v>3200</v>
      </c>
      <c r="J261" s="155">
        <v>2319</v>
      </c>
      <c r="K261" s="361">
        <f t="shared" si="41"/>
        <v>72.46875</v>
      </c>
      <c r="L261" s="155"/>
      <c r="M261" s="155"/>
      <c r="N261" s="361"/>
      <c r="O261" s="156">
        <f t="shared" si="37"/>
        <v>3200</v>
      </c>
      <c r="P261" s="156">
        <f t="shared" si="38"/>
        <v>2319</v>
      </c>
      <c r="Q261" s="361">
        <f t="shared" si="39"/>
        <v>72.46875</v>
      </c>
    </row>
    <row r="262" spans="2:17" x14ac:dyDescent="0.2">
      <c r="B262" s="141">
        <f t="shared" si="40"/>
        <v>50</v>
      </c>
      <c r="C262" s="152"/>
      <c r="D262" s="152"/>
      <c r="E262" s="152"/>
      <c r="F262" s="153"/>
      <c r="G262" s="154">
        <v>637</v>
      </c>
      <c r="H262" s="152" t="s">
        <v>122</v>
      </c>
      <c r="I262" s="155">
        <v>27400</v>
      </c>
      <c r="J262" s="155">
        <v>18763</v>
      </c>
      <c r="K262" s="361">
        <f t="shared" si="41"/>
        <v>68.478102189781026</v>
      </c>
      <c r="L262" s="155"/>
      <c r="M262" s="155"/>
      <c r="N262" s="361"/>
      <c r="O262" s="156">
        <f t="shared" si="37"/>
        <v>27400</v>
      </c>
      <c r="P262" s="156">
        <f t="shared" si="38"/>
        <v>18763</v>
      </c>
      <c r="Q262" s="361">
        <f t="shared" si="39"/>
        <v>68.478102189781026</v>
      </c>
    </row>
    <row r="263" spans="2:17" x14ac:dyDescent="0.2">
      <c r="B263" s="141">
        <f t="shared" si="40"/>
        <v>51</v>
      </c>
      <c r="C263" s="147"/>
      <c r="D263" s="147"/>
      <c r="E263" s="147"/>
      <c r="F263" s="148" t="s">
        <v>183</v>
      </c>
      <c r="G263" s="149">
        <v>640</v>
      </c>
      <c r="H263" s="147" t="s">
        <v>129</v>
      </c>
      <c r="I263" s="150">
        <f>1400+500+400</f>
        <v>2300</v>
      </c>
      <c r="J263" s="150">
        <v>1760</v>
      </c>
      <c r="K263" s="361">
        <f t="shared" si="41"/>
        <v>76.521739130434781</v>
      </c>
      <c r="L263" s="150"/>
      <c r="M263" s="150"/>
      <c r="N263" s="361"/>
      <c r="O263" s="151">
        <f t="shared" si="37"/>
        <v>2300</v>
      </c>
      <c r="P263" s="151">
        <f t="shared" si="38"/>
        <v>1760</v>
      </c>
      <c r="Q263" s="361">
        <f t="shared" si="39"/>
        <v>76.521739130434781</v>
      </c>
    </row>
    <row r="264" spans="2:17" ht="15" x14ac:dyDescent="0.2">
      <c r="B264" s="141">
        <f t="shared" si="40"/>
        <v>52</v>
      </c>
      <c r="C264" s="144">
        <v>6</v>
      </c>
      <c r="D264" s="528" t="s">
        <v>145</v>
      </c>
      <c r="E264" s="529"/>
      <c r="F264" s="529"/>
      <c r="G264" s="529"/>
      <c r="H264" s="529"/>
      <c r="I264" s="145">
        <f>I265</f>
        <v>253500</v>
      </c>
      <c r="J264" s="145">
        <f>J265</f>
        <v>195456</v>
      </c>
      <c r="K264" s="361">
        <f t="shared" si="41"/>
        <v>77.102958579881658</v>
      </c>
      <c r="L264" s="145">
        <f>L270</f>
        <v>355260</v>
      </c>
      <c r="M264" s="145">
        <f>M270</f>
        <v>233965</v>
      </c>
      <c r="N264" s="361">
        <f>M264/L264*100</f>
        <v>65.857400213927832</v>
      </c>
      <c r="O264" s="146">
        <f t="shared" si="37"/>
        <v>608760</v>
      </c>
      <c r="P264" s="146">
        <f t="shared" si="38"/>
        <v>429421</v>
      </c>
      <c r="Q264" s="361">
        <f t="shared" si="39"/>
        <v>70.540278599119517</v>
      </c>
    </row>
    <row r="265" spans="2:17" x14ac:dyDescent="0.2">
      <c r="B265" s="141">
        <f t="shared" si="40"/>
        <v>53</v>
      </c>
      <c r="C265" s="147"/>
      <c r="D265" s="147"/>
      <c r="E265" s="147"/>
      <c r="F265" s="148" t="s">
        <v>144</v>
      </c>
      <c r="G265" s="149">
        <v>630</v>
      </c>
      <c r="H265" s="147" t="s">
        <v>121</v>
      </c>
      <c r="I265" s="150">
        <f>I269+I268+I267+I266</f>
        <v>253500</v>
      </c>
      <c r="J265" s="150">
        <f>J269+J268+J267+J266</f>
        <v>195456</v>
      </c>
      <c r="K265" s="361">
        <f t="shared" si="41"/>
        <v>77.102958579881658</v>
      </c>
      <c r="L265" s="150"/>
      <c r="M265" s="150"/>
      <c r="N265" s="361"/>
      <c r="O265" s="151">
        <f t="shared" si="37"/>
        <v>253500</v>
      </c>
      <c r="P265" s="151">
        <f t="shared" si="38"/>
        <v>195456</v>
      </c>
      <c r="Q265" s="361">
        <f t="shared" si="39"/>
        <v>77.102958579881658</v>
      </c>
    </row>
    <row r="266" spans="2:17" s="121" customFormat="1" x14ac:dyDescent="0.2">
      <c r="B266" s="141">
        <f t="shared" si="40"/>
        <v>54</v>
      </c>
      <c r="C266" s="152"/>
      <c r="D266" s="152"/>
      <c r="E266" s="152"/>
      <c r="F266" s="153"/>
      <c r="G266" s="154">
        <v>632</v>
      </c>
      <c r="H266" s="152" t="s">
        <v>134</v>
      </c>
      <c r="I266" s="155">
        <v>57000</v>
      </c>
      <c r="J266" s="155">
        <v>29945</v>
      </c>
      <c r="K266" s="361">
        <f t="shared" si="41"/>
        <v>52.535087719298247</v>
      </c>
      <c r="L266" s="155"/>
      <c r="M266" s="155"/>
      <c r="N266" s="361"/>
      <c r="O266" s="156">
        <f t="shared" si="37"/>
        <v>57000</v>
      </c>
      <c r="P266" s="156">
        <f t="shared" si="38"/>
        <v>29945</v>
      </c>
      <c r="Q266" s="361">
        <f t="shared" si="39"/>
        <v>52.535087719298247</v>
      </c>
    </row>
    <row r="267" spans="2:17" s="121" customFormat="1" x14ac:dyDescent="0.2">
      <c r="B267" s="141">
        <f t="shared" si="40"/>
        <v>55</v>
      </c>
      <c r="C267" s="152"/>
      <c r="D267" s="152"/>
      <c r="E267" s="152"/>
      <c r="F267" s="153"/>
      <c r="G267" s="154">
        <v>633</v>
      </c>
      <c r="H267" s="152" t="s">
        <v>125</v>
      </c>
      <c r="I267" s="155">
        <v>2000</v>
      </c>
      <c r="J267" s="155">
        <v>0</v>
      </c>
      <c r="K267" s="361">
        <f t="shared" si="41"/>
        <v>0</v>
      </c>
      <c r="L267" s="155"/>
      <c r="M267" s="155"/>
      <c r="N267" s="361"/>
      <c r="O267" s="156">
        <f t="shared" si="37"/>
        <v>2000</v>
      </c>
      <c r="P267" s="156">
        <f t="shared" si="38"/>
        <v>0</v>
      </c>
      <c r="Q267" s="361">
        <f t="shared" si="39"/>
        <v>0</v>
      </c>
    </row>
    <row r="268" spans="2:17" x14ac:dyDescent="0.2">
      <c r="B268" s="141">
        <f t="shared" si="40"/>
        <v>56</v>
      </c>
      <c r="C268" s="152"/>
      <c r="D268" s="152"/>
      <c r="E268" s="152"/>
      <c r="F268" s="153"/>
      <c r="G268" s="154">
        <v>635</v>
      </c>
      <c r="H268" s="152" t="s">
        <v>133</v>
      </c>
      <c r="I268" s="155">
        <f>20000+3500</f>
        <v>23500</v>
      </c>
      <c r="J268" s="155">
        <v>18999</v>
      </c>
      <c r="K268" s="361">
        <f t="shared" si="41"/>
        <v>80.846808510638297</v>
      </c>
      <c r="L268" s="155"/>
      <c r="M268" s="155"/>
      <c r="N268" s="361"/>
      <c r="O268" s="156">
        <f t="shared" si="37"/>
        <v>23500</v>
      </c>
      <c r="P268" s="156">
        <f t="shared" si="38"/>
        <v>18999</v>
      </c>
      <c r="Q268" s="361">
        <f t="shared" si="39"/>
        <v>80.846808510638297</v>
      </c>
    </row>
    <row r="269" spans="2:17" x14ac:dyDescent="0.2">
      <c r="B269" s="141">
        <f t="shared" si="40"/>
        <v>57</v>
      </c>
      <c r="C269" s="152"/>
      <c r="D269" s="152"/>
      <c r="E269" s="152"/>
      <c r="F269" s="153"/>
      <c r="G269" s="154">
        <v>637</v>
      </c>
      <c r="H269" s="152" t="s">
        <v>122</v>
      </c>
      <c r="I269" s="155">
        <f>143000+28000</f>
        <v>171000</v>
      </c>
      <c r="J269" s="155">
        <v>146512</v>
      </c>
      <c r="K269" s="361">
        <f t="shared" si="41"/>
        <v>85.679532163742692</v>
      </c>
      <c r="L269" s="155"/>
      <c r="M269" s="155"/>
      <c r="N269" s="361"/>
      <c r="O269" s="156">
        <f t="shared" si="37"/>
        <v>171000</v>
      </c>
      <c r="P269" s="156">
        <f t="shared" si="38"/>
        <v>146512</v>
      </c>
      <c r="Q269" s="361">
        <f t="shared" si="39"/>
        <v>85.679532163742692</v>
      </c>
    </row>
    <row r="270" spans="2:17" x14ac:dyDescent="0.2">
      <c r="B270" s="141">
        <f t="shared" si="40"/>
        <v>58</v>
      </c>
      <c r="C270" s="147"/>
      <c r="D270" s="147"/>
      <c r="E270" s="147"/>
      <c r="F270" s="148" t="s">
        <v>144</v>
      </c>
      <c r="G270" s="149">
        <v>710</v>
      </c>
      <c r="H270" s="147" t="s">
        <v>175</v>
      </c>
      <c r="I270" s="150"/>
      <c r="J270" s="150"/>
      <c r="K270" s="361"/>
      <c r="L270" s="150">
        <f>L271+L273</f>
        <v>355260</v>
      </c>
      <c r="M270" s="150">
        <f>M271+M273</f>
        <v>233965</v>
      </c>
      <c r="N270" s="361">
        <f t="shared" ref="N270:N277" si="42">M270/L270*100</f>
        <v>65.857400213927832</v>
      </c>
      <c r="O270" s="151">
        <f t="shared" si="37"/>
        <v>355260</v>
      </c>
      <c r="P270" s="151">
        <f t="shared" si="38"/>
        <v>233965</v>
      </c>
      <c r="Q270" s="361">
        <f t="shared" si="39"/>
        <v>65.857400213927832</v>
      </c>
    </row>
    <row r="271" spans="2:17" x14ac:dyDescent="0.2">
      <c r="B271" s="141">
        <f t="shared" si="40"/>
        <v>59</v>
      </c>
      <c r="C271" s="152"/>
      <c r="D271" s="152"/>
      <c r="E271" s="152"/>
      <c r="F271" s="153"/>
      <c r="G271" s="154">
        <v>716</v>
      </c>
      <c r="H271" s="152" t="s">
        <v>215</v>
      </c>
      <c r="I271" s="155"/>
      <c r="J271" s="155"/>
      <c r="K271" s="361"/>
      <c r="L271" s="155">
        <f>SUM(L272:L272)</f>
        <v>138060</v>
      </c>
      <c r="M271" s="155">
        <f>SUM(M272:M272)</f>
        <v>48840</v>
      </c>
      <c r="N271" s="361">
        <f t="shared" si="42"/>
        <v>35.375923511516731</v>
      </c>
      <c r="O271" s="156">
        <f t="shared" si="37"/>
        <v>138060</v>
      </c>
      <c r="P271" s="156">
        <f t="shared" si="38"/>
        <v>48840</v>
      </c>
      <c r="Q271" s="361">
        <f t="shared" si="39"/>
        <v>35.375923511516731</v>
      </c>
    </row>
    <row r="272" spans="2:17" x14ac:dyDescent="0.2">
      <c r="B272" s="141">
        <f t="shared" si="40"/>
        <v>60</v>
      </c>
      <c r="C272" s="161"/>
      <c r="D272" s="161"/>
      <c r="E272" s="161"/>
      <c r="F272" s="163"/>
      <c r="G272" s="163"/>
      <c r="H272" s="161" t="s">
        <v>394</v>
      </c>
      <c r="I272" s="164"/>
      <c r="J272" s="164"/>
      <c r="K272" s="361"/>
      <c r="L272" s="164">
        <v>138060</v>
      </c>
      <c r="M272" s="164">
        <v>48840</v>
      </c>
      <c r="N272" s="361">
        <f t="shared" si="42"/>
        <v>35.375923511516731</v>
      </c>
      <c r="O272" s="165">
        <f t="shared" si="37"/>
        <v>138060</v>
      </c>
      <c r="P272" s="165">
        <f t="shared" si="38"/>
        <v>48840</v>
      </c>
      <c r="Q272" s="361">
        <f t="shared" si="39"/>
        <v>35.375923511516731</v>
      </c>
    </row>
    <row r="273" spans="2:17" x14ac:dyDescent="0.2">
      <c r="B273" s="141">
        <f t="shared" si="40"/>
        <v>61</v>
      </c>
      <c r="C273" s="152"/>
      <c r="D273" s="152"/>
      <c r="E273" s="152"/>
      <c r="F273" s="153"/>
      <c r="G273" s="154">
        <v>717</v>
      </c>
      <c r="H273" s="152" t="s">
        <v>182</v>
      </c>
      <c r="I273" s="155"/>
      <c r="J273" s="155"/>
      <c r="K273" s="361"/>
      <c r="L273" s="155">
        <f>SUM(L274:L277)</f>
        <v>217200</v>
      </c>
      <c r="M273" s="155">
        <f>SUM(M274:M277)</f>
        <v>185125</v>
      </c>
      <c r="N273" s="361">
        <f t="shared" si="42"/>
        <v>85.232504604051556</v>
      </c>
      <c r="O273" s="156">
        <f t="shared" si="37"/>
        <v>217200</v>
      </c>
      <c r="P273" s="156">
        <f t="shared" si="38"/>
        <v>185125</v>
      </c>
      <c r="Q273" s="361">
        <f t="shared" si="39"/>
        <v>85.232504604051556</v>
      </c>
    </row>
    <row r="274" spans="2:17" x14ac:dyDescent="0.2">
      <c r="B274" s="141">
        <f t="shared" si="40"/>
        <v>62</v>
      </c>
      <c r="C274" s="152"/>
      <c r="D274" s="152"/>
      <c r="E274" s="152"/>
      <c r="F274" s="153"/>
      <c r="G274" s="154"/>
      <c r="H274" s="161" t="s">
        <v>659</v>
      </c>
      <c r="I274" s="164"/>
      <c r="J274" s="164"/>
      <c r="K274" s="361"/>
      <c r="L274" s="164">
        <v>26500</v>
      </c>
      <c r="M274" s="164">
        <v>157</v>
      </c>
      <c r="N274" s="361">
        <f t="shared" si="42"/>
        <v>0.59245283018867922</v>
      </c>
      <c r="O274" s="165">
        <f t="shared" ref="O274:P276" si="43">L274</f>
        <v>26500</v>
      </c>
      <c r="P274" s="165">
        <f t="shared" si="43"/>
        <v>157</v>
      </c>
      <c r="Q274" s="361">
        <f t="shared" si="39"/>
        <v>0.59245283018867922</v>
      </c>
    </row>
    <row r="275" spans="2:17" x14ac:dyDescent="0.2">
      <c r="B275" s="141">
        <f t="shared" si="40"/>
        <v>63</v>
      </c>
      <c r="C275" s="161"/>
      <c r="D275" s="161"/>
      <c r="E275" s="161"/>
      <c r="F275" s="163"/>
      <c r="G275" s="163"/>
      <c r="H275" s="161" t="s">
        <v>532</v>
      </c>
      <c r="I275" s="164"/>
      <c r="J275" s="164"/>
      <c r="K275" s="361"/>
      <c r="L275" s="164">
        <f>112500+11000+1700</f>
        <v>125200</v>
      </c>
      <c r="M275" s="164">
        <v>120226</v>
      </c>
      <c r="N275" s="361">
        <f t="shared" si="42"/>
        <v>96.027156549520768</v>
      </c>
      <c r="O275" s="165">
        <f t="shared" si="43"/>
        <v>125200</v>
      </c>
      <c r="P275" s="165">
        <f t="shared" si="43"/>
        <v>120226</v>
      </c>
      <c r="Q275" s="361">
        <f t="shared" si="39"/>
        <v>96.027156549520768</v>
      </c>
    </row>
    <row r="276" spans="2:17" x14ac:dyDescent="0.2">
      <c r="B276" s="141">
        <f t="shared" si="40"/>
        <v>64</v>
      </c>
      <c r="C276" s="161"/>
      <c r="D276" s="161"/>
      <c r="E276" s="161"/>
      <c r="F276" s="163"/>
      <c r="G276" s="163"/>
      <c r="H276" s="161" t="s">
        <v>725</v>
      </c>
      <c r="I276" s="164"/>
      <c r="J276" s="164"/>
      <c r="K276" s="361"/>
      <c r="L276" s="164">
        <v>4000</v>
      </c>
      <c r="M276" s="164">
        <v>3984</v>
      </c>
      <c r="N276" s="361">
        <f t="shared" si="42"/>
        <v>99.6</v>
      </c>
      <c r="O276" s="165">
        <f t="shared" si="43"/>
        <v>4000</v>
      </c>
      <c r="P276" s="165">
        <f t="shared" si="43"/>
        <v>3984</v>
      </c>
      <c r="Q276" s="361">
        <f t="shared" si="39"/>
        <v>99.6</v>
      </c>
    </row>
    <row r="277" spans="2:17" x14ac:dyDescent="0.2">
      <c r="B277" s="141">
        <f t="shared" si="40"/>
        <v>65</v>
      </c>
      <c r="C277" s="161"/>
      <c r="D277" s="161"/>
      <c r="E277" s="161"/>
      <c r="F277" s="163"/>
      <c r="G277" s="163"/>
      <c r="H277" s="161" t="s">
        <v>405</v>
      </c>
      <c r="I277" s="164"/>
      <c r="J277" s="164"/>
      <c r="K277" s="361"/>
      <c r="L277" s="164">
        <f>55000+6500</f>
        <v>61500</v>
      </c>
      <c r="M277" s="164">
        <v>60758</v>
      </c>
      <c r="N277" s="361">
        <f t="shared" si="42"/>
        <v>98.793495934959353</v>
      </c>
      <c r="O277" s="165">
        <f t="shared" ref="O277:P284" si="44">I277+L277</f>
        <v>61500</v>
      </c>
      <c r="P277" s="165">
        <f t="shared" si="44"/>
        <v>60758</v>
      </c>
      <c r="Q277" s="361">
        <f t="shared" ref="Q277:Q284" si="45">P277/O277*100</f>
        <v>98.793495934959353</v>
      </c>
    </row>
    <row r="278" spans="2:17" ht="15" x14ac:dyDescent="0.2">
      <c r="B278" s="141">
        <f t="shared" ref="B278:B284" si="46">B277+1</f>
        <v>66</v>
      </c>
      <c r="C278" s="144">
        <v>7</v>
      </c>
      <c r="D278" s="528" t="s">
        <v>41</v>
      </c>
      <c r="E278" s="529"/>
      <c r="F278" s="529"/>
      <c r="G278" s="529"/>
      <c r="H278" s="529"/>
      <c r="I278" s="145">
        <f>I279</f>
        <v>2085</v>
      </c>
      <c r="J278" s="145">
        <f>J279</f>
        <v>132</v>
      </c>
      <c r="K278" s="361">
        <f t="shared" ref="K278:K284" si="47">J278/I278*100</f>
        <v>6.3309352517985609</v>
      </c>
      <c r="L278" s="145"/>
      <c r="M278" s="145"/>
      <c r="N278" s="361"/>
      <c r="O278" s="146">
        <f t="shared" si="44"/>
        <v>2085</v>
      </c>
      <c r="P278" s="146">
        <f t="shared" si="44"/>
        <v>132</v>
      </c>
      <c r="Q278" s="361">
        <f t="shared" si="45"/>
        <v>6.3309352517985609</v>
      </c>
    </row>
    <row r="279" spans="2:17" s="122" customFormat="1" ht="15" x14ac:dyDescent="0.25">
      <c r="B279" s="141">
        <f t="shared" si="46"/>
        <v>67</v>
      </c>
      <c r="C279" s="166"/>
      <c r="D279" s="166"/>
      <c r="E279" s="166">
        <v>2</v>
      </c>
      <c r="F279" s="167"/>
      <c r="G279" s="167"/>
      <c r="H279" s="166" t="s">
        <v>11</v>
      </c>
      <c r="I279" s="168">
        <f>I280</f>
        <v>2085</v>
      </c>
      <c r="J279" s="168">
        <f>J280</f>
        <v>132</v>
      </c>
      <c r="K279" s="361">
        <f t="shared" si="47"/>
        <v>6.3309352517985609</v>
      </c>
      <c r="L279" s="168"/>
      <c r="M279" s="168"/>
      <c r="N279" s="361"/>
      <c r="O279" s="169">
        <f t="shared" si="44"/>
        <v>2085</v>
      </c>
      <c r="P279" s="169">
        <f t="shared" si="44"/>
        <v>132</v>
      </c>
      <c r="Q279" s="361">
        <f t="shared" si="45"/>
        <v>6.3309352517985609</v>
      </c>
    </row>
    <row r="280" spans="2:17" s="122" customFormat="1" x14ac:dyDescent="0.2">
      <c r="B280" s="141">
        <f t="shared" si="46"/>
        <v>68</v>
      </c>
      <c r="C280" s="147"/>
      <c r="D280" s="147"/>
      <c r="E280" s="147"/>
      <c r="F280" s="148" t="s">
        <v>217</v>
      </c>
      <c r="G280" s="149">
        <v>630</v>
      </c>
      <c r="H280" s="147" t="s">
        <v>121</v>
      </c>
      <c r="I280" s="150">
        <f>I284+I283+I282+I281</f>
        <v>2085</v>
      </c>
      <c r="J280" s="150">
        <f>J284+J283+J282+J281</f>
        <v>132</v>
      </c>
      <c r="K280" s="361">
        <f t="shared" si="47"/>
        <v>6.3309352517985609</v>
      </c>
      <c r="L280" s="150"/>
      <c r="M280" s="150"/>
      <c r="N280" s="361"/>
      <c r="O280" s="151">
        <f t="shared" si="44"/>
        <v>2085</v>
      </c>
      <c r="P280" s="151">
        <f t="shared" si="44"/>
        <v>132</v>
      </c>
      <c r="Q280" s="361">
        <f t="shared" si="45"/>
        <v>6.3309352517985609</v>
      </c>
    </row>
    <row r="281" spans="2:17" x14ac:dyDescent="0.2">
      <c r="B281" s="141">
        <f t="shared" si="46"/>
        <v>69</v>
      </c>
      <c r="C281" s="152"/>
      <c r="D281" s="152"/>
      <c r="E281" s="152"/>
      <c r="F281" s="153"/>
      <c r="G281" s="154">
        <v>633</v>
      </c>
      <c r="H281" s="152" t="s">
        <v>125</v>
      </c>
      <c r="I281" s="155">
        <v>550</v>
      </c>
      <c r="J281" s="155">
        <v>0</v>
      </c>
      <c r="K281" s="361">
        <f t="shared" si="47"/>
        <v>0</v>
      </c>
      <c r="L281" s="155"/>
      <c r="M281" s="155"/>
      <c r="N281" s="361"/>
      <c r="O281" s="156">
        <f t="shared" si="44"/>
        <v>550</v>
      </c>
      <c r="P281" s="156">
        <f t="shared" si="44"/>
        <v>0</v>
      </c>
      <c r="Q281" s="361">
        <f t="shared" si="45"/>
        <v>0</v>
      </c>
    </row>
    <row r="282" spans="2:17" s="122" customFormat="1" x14ac:dyDescent="0.2">
      <c r="B282" s="141">
        <f t="shared" si="46"/>
        <v>70</v>
      </c>
      <c r="C282" s="152"/>
      <c r="D282" s="152"/>
      <c r="E282" s="152"/>
      <c r="F282" s="153"/>
      <c r="G282" s="154">
        <v>634</v>
      </c>
      <c r="H282" s="152" t="s">
        <v>132</v>
      </c>
      <c r="I282" s="155">
        <v>350</v>
      </c>
      <c r="J282" s="155">
        <v>127</v>
      </c>
      <c r="K282" s="361">
        <f t="shared" si="47"/>
        <v>36.285714285714285</v>
      </c>
      <c r="L282" s="155"/>
      <c r="M282" s="155"/>
      <c r="N282" s="361"/>
      <c r="O282" s="156">
        <f t="shared" si="44"/>
        <v>350</v>
      </c>
      <c r="P282" s="156">
        <f t="shared" si="44"/>
        <v>127</v>
      </c>
      <c r="Q282" s="361">
        <f t="shared" si="45"/>
        <v>36.285714285714285</v>
      </c>
    </row>
    <row r="283" spans="2:17" x14ac:dyDescent="0.2">
      <c r="B283" s="141">
        <f t="shared" si="46"/>
        <v>71</v>
      </c>
      <c r="C283" s="152"/>
      <c r="D283" s="152"/>
      <c r="E283" s="152"/>
      <c r="F283" s="153"/>
      <c r="G283" s="154">
        <v>635</v>
      </c>
      <c r="H283" s="152" t="s">
        <v>133</v>
      </c>
      <c r="I283" s="155">
        <v>985</v>
      </c>
      <c r="J283" s="155">
        <v>0</v>
      </c>
      <c r="K283" s="361">
        <f t="shared" si="47"/>
        <v>0</v>
      </c>
      <c r="L283" s="155"/>
      <c r="M283" s="155"/>
      <c r="N283" s="361"/>
      <c r="O283" s="156">
        <f t="shared" si="44"/>
        <v>985</v>
      </c>
      <c r="P283" s="156">
        <f t="shared" si="44"/>
        <v>0</v>
      </c>
      <c r="Q283" s="361">
        <f t="shared" si="45"/>
        <v>0</v>
      </c>
    </row>
    <row r="284" spans="2:17" x14ac:dyDescent="0.2">
      <c r="B284" s="141">
        <f t="shared" si="46"/>
        <v>72</v>
      </c>
      <c r="C284" s="170"/>
      <c r="D284" s="170"/>
      <c r="E284" s="170"/>
      <c r="F284" s="171"/>
      <c r="G284" s="172">
        <v>637</v>
      </c>
      <c r="H284" s="170" t="s">
        <v>122</v>
      </c>
      <c r="I284" s="173">
        <v>200</v>
      </c>
      <c r="J284" s="173">
        <v>5</v>
      </c>
      <c r="K284" s="361">
        <f t="shared" si="47"/>
        <v>2.5</v>
      </c>
      <c r="L284" s="173"/>
      <c r="M284" s="173"/>
      <c r="N284" s="361"/>
      <c r="O284" s="174">
        <f t="shared" si="44"/>
        <v>200</v>
      </c>
      <c r="P284" s="174">
        <f t="shared" si="44"/>
        <v>5</v>
      </c>
      <c r="Q284" s="361">
        <f t="shared" si="45"/>
        <v>2.5</v>
      </c>
    </row>
    <row r="285" spans="2:17" x14ac:dyDescent="0.2">
      <c r="B285" s="1"/>
      <c r="F285" s="1"/>
      <c r="G285" s="1"/>
      <c r="I285" s="1"/>
      <c r="J285" s="1"/>
      <c r="K285" s="1"/>
      <c r="L285" s="1"/>
      <c r="M285" s="1"/>
      <c r="N285" s="1"/>
      <c r="O285" s="1"/>
    </row>
    <row r="286" spans="2:17" x14ac:dyDescent="0.2">
      <c r="B286" s="1"/>
      <c r="F286" s="1"/>
      <c r="G286" s="1"/>
      <c r="I286" s="1"/>
      <c r="J286" s="1"/>
      <c r="K286" s="1"/>
      <c r="L286" s="1"/>
      <c r="M286" s="1"/>
      <c r="N286" s="1"/>
      <c r="O286" s="1"/>
    </row>
    <row r="287" spans="2:17" ht="27.75" x14ac:dyDescent="0.4">
      <c r="B287" s="530" t="s">
        <v>18</v>
      </c>
      <c r="C287" s="531"/>
      <c r="D287" s="531"/>
      <c r="E287" s="531"/>
      <c r="F287" s="531"/>
      <c r="G287" s="531"/>
      <c r="H287" s="531"/>
      <c r="I287" s="531"/>
      <c r="J287" s="531"/>
      <c r="K287" s="531"/>
      <c r="L287" s="531"/>
      <c r="M287" s="531"/>
      <c r="N287" s="531"/>
      <c r="O287" s="532"/>
    </row>
    <row r="288" spans="2:17" ht="15" customHeight="1" x14ac:dyDescent="0.35">
      <c r="B288" s="509" t="s">
        <v>418</v>
      </c>
      <c r="C288" s="510"/>
      <c r="D288" s="510"/>
      <c r="E288" s="510"/>
      <c r="F288" s="510"/>
      <c r="G288" s="510"/>
      <c r="H288" s="510"/>
      <c r="I288" s="510"/>
      <c r="J288" s="510"/>
      <c r="K288" s="511"/>
      <c r="L288" s="510"/>
      <c r="M288" s="510"/>
      <c r="N288" s="511"/>
      <c r="O288" s="501" t="s">
        <v>741</v>
      </c>
      <c r="P288" s="512" t="s">
        <v>739</v>
      </c>
      <c r="Q288" s="514" t="s">
        <v>738</v>
      </c>
    </row>
    <row r="289" spans="2:17" ht="12.75" customHeight="1" x14ac:dyDescent="0.2">
      <c r="B289" s="503"/>
      <c r="C289" s="504" t="s">
        <v>114</v>
      </c>
      <c r="D289" s="504" t="s">
        <v>115</v>
      </c>
      <c r="E289" s="504"/>
      <c r="F289" s="504" t="s">
        <v>116</v>
      </c>
      <c r="G289" s="506" t="s">
        <v>117</v>
      </c>
      <c r="H289" s="507" t="s">
        <v>118</v>
      </c>
      <c r="I289" s="508" t="s">
        <v>742</v>
      </c>
      <c r="J289" s="508" t="s">
        <v>744</v>
      </c>
      <c r="K289" s="517" t="s">
        <v>738</v>
      </c>
      <c r="L289" s="505" t="s">
        <v>743</v>
      </c>
      <c r="M289" s="508" t="s">
        <v>745</v>
      </c>
      <c r="N289" s="520" t="s">
        <v>738</v>
      </c>
      <c r="O289" s="502"/>
      <c r="P289" s="513"/>
      <c r="Q289" s="515"/>
    </row>
    <row r="290" spans="2:17" ht="12.75" customHeight="1" x14ac:dyDescent="0.2">
      <c r="B290" s="503"/>
      <c r="C290" s="504"/>
      <c r="D290" s="504"/>
      <c r="E290" s="504"/>
      <c r="F290" s="504"/>
      <c r="G290" s="506"/>
      <c r="H290" s="507"/>
      <c r="I290" s="508"/>
      <c r="J290" s="508"/>
      <c r="K290" s="518"/>
      <c r="L290" s="505"/>
      <c r="M290" s="508"/>
      <c r="N290" s="521"/>
      <c r="O290" s="502"/>
      <c r="P290" s="513"/>
      <c r="Q290" s="515"/>
    </row>
    <row r="291" spans="2:17" ht="12.75" customHeight="1" x14ac:dyDescent="0.2">
      <c r="B291" s="503"/>
      <c r="C291" s="504"/>
      <c r="D291" s="504"/>
      <c r="E291" s="504"/>
      <c r="F291" s="504"/>
      <c r="G291" s="506"/>
      <c r="H291" s="507"/>
      <c r="I291" s="508"/>
      <c r="J291" s="508"/>
      <c r="K291" s="518"/>
      <c r="L291" s="505"/>
      <c r="M291" s="508"/>
      <c r="N291" s="521"/>
      <c r="O291" s="502"/>
      <c r="P291" s="513"/>
      <c r="Q291" s="515"/>
    </row>
    <row r="292" spans="2:17" ht="12.75" customHeight="1" x14ac:dyDescent="0.2">
      <c r="B292" s="503"/>
      <c r="C292" s="504"/>
      <c r="D292" s="504"/>
      <c r="E292" s="504"/>
      <c r="F292" s="504"/>
      <c r="G292" s="506"/>
      <c r="H292" s="507"/>
      <c r="I292" s="508"/>
      <c r="J292" s="508"/>
      <c r="K292" s="519"/>
      <c r="L292" s="505"/>
      <c r="M292" s="508"/>
      <c r="N292" s="521"/>
      <c r="O292" s="502"/>
      <c r="P292" s="513"/>
      <c r="Q292" s="516"/>
    </row>
    <row r="293" spans="2:17" ht="15.75" x14ac:dyDescent="0.2">
      <c r="B293" s="141">
        <v>1</v>
      </c>
      <c r="C293" s="533" t="s">
        <v>18</v>
      </c>
      <c r="D293" s="534"/>
      <c r="E293" s="534"/>
      <c r="F293" s="534"/>
      <c r="G293" s="534"/>
      <c r="H293" s="534"/>
      <c r="I293" s="142">
        <f>I351+I346+I340+I313+I294</f>
        <v>2724553</v>
      </c>
      <c r="J293" s="142">
        <f>J351+J346+J340+J313+J294</f>
        <v>2396552</v>
      </c>
      <c r="K293" s="361">
        <f t="shared" ref="K293:K305" si="48">J293/I293*100</f>
        <v>87.961291265025849</v>
      </c>
      <c r="L293" s="142">
        <f>L294+L313+L340+L346+L351</f>
        <v>15202370</v>
      </c>
      <c r="M293" s="142">
        <f>M294+M313+M340+M346+M351</f>
        <v>250876</v>
      </c>
      <c r="N293" s="361">
        <f>M293/L293*100</f>
        <v>1.6502426924223002</v>
      </c>
      <c r="O293" s="143">
        <f t="shared" ref="O293:O324" si="49">I293+L293</f>
        <v>17926923</v>
      </c>
      <c r="P293" s="143">
        <f t="shared" ref="P293:P324" si="50">J293+M293</f>
        <v>2647428</v>
      </c>
      <c r="Q293" s="361">
        <f t="shared" ref="Q293:Q324" si="51">P293/O293*100</f>
        <v>14.767888499325846</v>
      </c>
    </row>
    <row r="294" spans="2:17" ht="15" x14ac:dyDescent="0.2">
      <c r="B294" s="141">
        <f t="shared" ref="B294:B325" si="52">B293+1</f>
        <v>2</v>
      </c>
      <c r="C294" s="144">
        <v>1</v>
      </c>
      <c r="D294" s="528" t="s">
        <v>151</v>
      </c>
      <c r="E294" s="529"/>
      <c r="F294" s="529"/>
      <c r="G294" s="529"/>
      <c r="H294" s="529"/>
      <c r="I294" s="145">
        <f>I295+I296+I297+I305</f>
        <v>1630599</v>
      </c>
      <c r="J294" s="145">
        <f>J295+J296+J297+J305</f>
        <v>1519757</v>
      </c>
      <c r="K294" s="361">
        <f t="shared" si="48"/>
        <v>93.202375323424093</v>
      </c>
      <c r="L294" s="145">
        <f>L306</f>
        <v>71400</v>
      </c>
      <c r="M294" s="145">
        <f>M306</f>
        <v>51869</v>
      </c>
      <c r="N294" s="361">
        <f>M294/L294*100</f>
        <v>72.645658263305322</v>
      </c>
      <c r="O294" s="146">
        <f t="shared" si="49"/>
        <v>1701999</v>
      </c>
      <c r="P294" s="146">
        <f t="shared" si="50"/>
        <v>1571626</v>
      </c>
      <c r="Q294" s="361">
        <f t="shared" si="51"/>
        <v>92.340007250298029</v>
      </c>
    </row>
    <row r="295" spans="2:17" x14ac:dyDescent="0.2">
      <c r="B295" s="141">
        <f t="shared" si="52"/>
        <v>3</v>
      </c>
      <c r="C295" s="147"/>
      <c r="D295" s="147"/>
      <c r="E295" s="147"/>
      <c r="F295" s="148" t="s">
        <v>150</v>
      </c>
      <c r="G295" s="149">
        <v>610</v>
      </c>
      <c r="H295" s="147" t="s">
        <v>131</v>
      </c>
      <c r="I295" s="150">
        <f>804000+180000+36000-36000</f>
        <v>984000</v>
      </c>
      <c r="J295" s="150">
        <v>957604</v>
      </c>
      <c r="K295" s="361">
        <f t="shared" si="48"/>
        <v>97.317479674796743</v>
      </c>
      <c r="L295" s="150"/>
      <c r="M295" s="150"/>
      <c r="N295" s="361"/>
      <c r="O295" s="151">
        <f t="shared" si="49"/>
        <v>984000</v>
      </c>
      <c r="P295" s="151">
        <f t="shared" si="50"/>
        <v>957604</v>
      </c>
      <c r="Q295" s="361">
        <f t="shared" si="51"/>
        <v>97.317479674796743</v>
      </c>
    </row>
    <row r="296" spans="2:17" x14ac:dyDescent="0.2">
      <c r="B296" s="141">
        <f t="shared" si="52"/>
        <v>4</v>
      </c>
      <c r="C296" s="147"/>
      <c r="D296" s="147"/>
      <c r="E296" s="147"/>
      <c r="F296" s="148" t="s">
        <v>150</v>
      </c>
      <c r="G296" s="149">
        <v>620</v>
      </c>
      <c r="H296" s="147" t="s">
        <v>124</v>
      </c>
      <c r="I296" s="150">
        <f>102000+20000+9000+104000+7000+19000+7000+35000+21000+36000</f>
        <v>360000</v>
      </c>
      <c r="J296" s="150">
        <v>359999</v>
      </c>
      <c r="K296" s="361">
        <f t="shared" si="48"/>
        <v>99.999722222222218</v>
      </c>
      <c r="L296" s="150"/>
      <c r="M296" s="150"/>
      <c r="N296" s="361"/>
      <c r="O296" s="151">
        <f t="shared" si="49"/>
        <v>360000</v>
      </c>
      <c r="P296" s="151">
        <f t="shared" si="50"/>
        <v>359999</v>
      </c>
      <c r="Q296" s="361">
        <f t="shared" si="51"/>
        <v>99.999722222222218</v>
      </c>
    </row>
    <row r="297" spans="2:17" x14ac:dyDescent="0.2">
      <c r="B297" s="141">
        <f t="shared" si="52"/>
        <v>5</v>
      </c>
      <c r="C297" s="147"/>
      <c r="D297" s="147"/>
      <c r="E297" s="147"/>
      <c r="F297" s="148" t="s">
        <v>150</v>
      </c>
      <c r="G297" s="149">
        <v>630</v>
      </c>
      <c r="H297" s="147" t="s">
        <v>121</v>
      </c>
      <c r="I297" s="150">
        <f>I304+I303+I302+I301+I300+I299+I298</f>
        <v>200339</v>
      </c>
      <c r="J297" s="150">
        <f>J304+J303+J302+J301+J300+J299+J298</f>
        <v>136965</v>
      </c>
      <c r="K297" s="361">
        <f t="shared" si="48"/>
        <v>68.366618581504341</v>
      </c>
      <c r="L297" s="150"/>
      <c r="M297" s="150"/>
      <c r="N297" s="361"/>
      <c r="O297" s="151">
        <f t="shared" si="49"/>
        <v>200339</v>
      </c>
      <c r="P297" s="151">
        <f t="shared" si="50"/>
        <v>136965</v>
      </c>
      <c r="Q297" s="361">
        <f t="shared" si="51"/>
        <v>68.366618581504341</v>
      </c>
    </row>
    <row r="298" spans="2:17" x14ac:dyDescent="0.2">
      <c r="B298" s="141">
        <f t="shared" si="52"/>
        <v>6</v>
      </c>
      <c r="C298" s="152"/>
      <c r="D298" s="152"/>
      <c r="E298" s="152"/>
      <c r="F298" s="153"/>
      <c r="G298" s="154">
        <v>631</v>
      </c>
      <c r="H298" s="152" t="s">
        <v>127</v>
      </c>
      <c r="I298" s="155">
        <f>7830+170</f>
        <v>8000</v>
      </c>
      <c r="J298" s="155">
        <v>3605</v>
      </c>
      <c r="K298" s="361">
        <f t="shared" si="48"/>
        <v>45.0625</v>
      </c>
      <c r="L298" s="155"/>
      <c r="M298" s="155"/>
      <c r="N298" s="361"/>
      <c r="O298" s="156">
        <f t="shared" si="49"/>
        <v>8000</v>
      </c>
      <c r="P298" s="156">
        <f t="shared" si="50"/>
        <v>3605</v>
      </c>
      <c r="Q298" s="361">
        <f t="shared" si="51"/>
        <v>45.0625</v>
      </c>
    </row>
    <row r="299" spans="2:17" x14ac:dyDescent="0.2">
      <c r="B299" s="141">
        <f t="shared" si="52"/>
        <v>7</v>
      </c>
      <c r="C299" s="152"/>
      <c r="D299" s="152"/>
      <c r="E299" s="152"/>
      <c r="F299" s="153"/>
      <c r="G299" s="154">
        <v>632</v>
      </c>
      <c r="H299" s="152" t="s">
        <v>134</v>
      </c>
      <c r="I299" s="155">
        <v>43000</v>
      </c>
      <c r="J299" s="155">
        <v>24694</v>
      </c>
      <c r="K299" s="361">
        <f t="shared" si="48"/>
        <v>57.427906976744183</v>
      </c>
      <c r="L299" s="155"/>
      <c r="M299" s="155"/>
      <c r="N299" s="361"/>
      <c r="O299" s="156">
        <f t="shared" si="49"/>
        <v>43000</v>
      </c>
      <c r="P299" s="156">
        <f t="shared" si="50"/>
        <v>24694</v>
      </c>
      <c r="Q299" s="361">
        <f t="shared" si="51"/>
        <v>57.427906976744183</v>
      </c>
    </row>
    <row r="300" spans="2:17" x14ac:dyDescent="0.2">
      <c r="B300" s="141">
        <f t="shared" si="52"/>
        <v>8</v>
      </c>
      <c r="C300" s="152"/>
      <c r="D300" s="152"/>
      <c r="E300" s="152"/>
      <c r="F300" s="153"/>
      <c r="G300" s="154">
        <v>633</v>
      </c>
      <c r="H300" s="152" t="s">
        <v>125</v>
      </c>
      <c r="I300" s="155">
        <f>63500+3000</f>
        <v>66500</v>
      </c>
      <c r="J300" s="155">
        <v>49386</v>
      </c>
      <c r="K300" s="361">
        <f t="shared" si="48"/>
        <v>74.264661654135338</v>
      </c>
      <c r="L300" s="155"/>
      <c r="M300" s="155"/>
      <c r="N300" s="361"/>
      <c r="O300" s="156">
        <f t="shared" si="49"/>
        <v>66500</v>
      </c>
      <c r="P300" s="156">
        <f t="shared" si="50"/>
        <v>49386</v>
      </c>
      <c r="Q300" s="361">
        <f t="shared" si="51"/>
        <v>74.264661654135338</v>
      </c>
    </row>
    <row r="301" spans="2:17" x14ac:dyDescent="0.2">
      <c r="B301" s="141">
        <f t="shared" si="52"/>
        <v>9</v>
      </c>
      <c r="C301" s="152"/>
      <c r="D301" s="152"/>
      <c r="E301" s="152"/>
      <c r="F301" s="153"/>
      <c r="G301" s="154">
        <v>634</v>
      </c>
      <c r="H301" s="152" t="s">
        <v>132</v>
      </c>
      <c r="I301" s="155">
        <f>26000+10000+5400+180-500-600-870</f>
        <v>39610</v>
      </c>
      <c r="J301" s="155">
        <v>32673</v>
      </c>
      <c r="K301" s="361">
        <f t="shared" si="48"/>
        <v>82.486745771269881</v>
      </c>
      <c r="L301" s="155"/>
      <c r="M301" s="155"/>
      <c r="N301" s="361"/>
      <c r="O301" s="156">
        <f t="shared" si="49"/>
        <v>39610</v>
      </c>
      <c r="P301" s="156">
        <f t="shared" si="50"/>
        <v>32673</v>
      </c>
      <c r="Q301" s="361">
        <f t="shared" si="51"/>
        <v>82.486745771269881</v>
      </c>
    </row>
    <row r="302" spans="2:17" x14ac:dyDescent="0.2">
      <c r="B302" s="141">
        <f t="shared" si="52"/>
        <v>10</v>
      </c>
      <c r="C302" s="152"/>
      <c r="D302" s="152"/>
      <c r="E302" s="152"/>
      <c r="F302" s="153"/>
      <c r="G302" s="154">
        <v>635</v>
      </c>
      <c r="H302" s="152" t="s">
        <v>133</v>
      </c>
      <c r="I302" s="155">
        <f>200+500+200+200+2000+600+10000-7416</f>
        <v>6284</v>
      </c>
      <c r="J302" s="155">
        <v>1822</v>
      </c>
      <c r="K302" s="361">
        <f t="shared" si="48"/>
        <v>28.994271164863143</v>
      </c>
      <c r="L302" s="155"/>
      <c r="M302" s="155"/>
      <c r="N302" s="361"/>
      <c r="O302" s="156">
        <f t="shared" si="49"/>
        <v>6284</v>
      </c>
      <c r="P302" s="156">
        <f t="shared" si="50"/>
        <v>1822</v>
      </c>
      <c r="Q302" s="361">
        <f t="shared" si="51"/>
        <v>28.994271164863143</v>
      </c>
    </row>
    <row r="303" spans="2:17" x14ac:dyDescent="0.2">
      <c r="B303" s="141">
        <f t="shared" si="52"/>
        <v>11</v>
      </c>
      <c r="C303" s="152"/>
      <c r="D303" s="152"/>
      <c r="E303" s="152"/>
      <c r="F303" s="153"/>
      <c r="G303" s="154">
        <v>636</v>
      </c>
      <c r="H303" s="152" t="s">
        <v>126</v>
      </c>
      <c r="I303" s="155">
        <v>2000</v>
      </c>
      <c r="J303" s="155">
        <v>200</v>
      </c>
      <c r="K303" s="361">
        <f t="shared" si="48"/>
        <v>10</v>
      </c>
      <c r="L303" s="155"/>
      <c r="M303" s="155"/>
      <c r="N303" s="361"/>
      <c r="O303" s="156">
        <f t="shared" si="49"/>
        <v>2000</v>
      </c>
      <c r="P303" s="156">
        <f t="shared" si="50"/>
        <v>200</v>
      </c>
      <c r="Q303" s="361">
        <f t="shared" si="51"/>
        <v>10</v>
      </c>
    </row>
    <row r="304" spans="2:17" x14ac:dyDescent="0.2">
      <c r="B304" s="141">
        <f t="shared" si="52"/>
        <v>12</v>
      </c>
      <c r="C304" s="152"/>
      <c r="D304" s="152"/>
      <c r="E304" s="152"/>
      <c r="F304" s="153"/>
      <c r="G304" s="154">
        <v>637</v>
      </c>
      <c r="H304" s="152" t="s">
        <v>122</v>
      </c>
      <c r="I304" s="155">
        <f>38000-55-3000</f>
        <v>34945</v>
      </c>
      <c r="J304" s="155">
        <f>24136+450-1</f>
        <v>24585</v>
      </c>
      <c r="K304" s="361">
        <f t="shared" si="48"/>
        <v>70.353412505365583</v>
      </c>
      <c r="L304" s="155"/>
      <c r="M304" s="155"/>
      <c r="N304" s="361"/>
      <c r="O304" s="156">
        <f t="shared" si="49"/>
        <v>34945</v>
      </c>
      <c r="P304" s="156">
        <f t="shared" si="50"/>
        <v>24585</v>
      </c>
      <c r="Q304" s="361">
        <f t="shared" si="51"/>
        <v>70.353412505365583</v>
      </c>
    </row>
    <row r="305" spans="2:17" x14ac:dyDescent="0.2">
      <c r="B305" s="141">
        <f t="shared" si="52"/>
        <v>13</v>
      </c>
      <c r="C305" s="147"/>
      <c r="D305" s="147"/>
      <c r="E305" s="147"/>
      <c r="F305" s="148" t="s">
        <v>150</v>
      </c>
      <c r="G305" s="149">
        <v>640</v>
      </c>
      <c r="H305" s="147" t="s">
        <v>129</v>
      </c>
      <c r="I305" s="150">
        <f>160+1000+1000+30000+8000+46100</f>
        <v>86260</v>
      </c>
      <c r="J305" s="150">
        <v>65189</v>
      </c>
      <c r="K305" s="361">
        <f t="shared" si="48"/>
        <v>75.572687224669593</v>
      </c>
      <c r="L305" s="150"/>
      <c r="M305" s="150"/>
      <c r="N305" s="361"/>
      <c r="O305" s="151">
        <f t="shared" si="49"/>
        <v>86260</v>
      </c>
      <c r="P305" s="151">
        <f t="shared" si="50"/>
        <v>65189</v>
      </c>
      <c r="Q305" s="361">
        <f t="shared" si="51"/>
        <v>75.572687224669593</v>
      </c>
    </row>
    <row r="306" spans="2:17" x14ac:dyDescent="0.2">
      <c r="B306" s="141">
        <f t="shared" si="52"/>
        <v>14</v>
      </c>
      <c r="C306" s="147"/>
      <c r="D306" s="147"/>
      <c r="E306" s="147"/>
      <c r="F306" s="148" t="s">
        <v>150</v>
      </c>
      <c r="G306" s="149">
        <v>710</v>
      </c>
      <c r="H306" s="147" t="s">
        <v>175</v>
      </c>
      <c r="I306" s="150"/>
      <c r="J306" s="150"/>
      <c r="K306" s="361"/>
      <c r="L306" s="150">
        <f>L311+L307+L309</f>
        <v>71400</v>
      </c>
      <c r="M306" s="150">
        <f>M311+M307+M309</f>
        <v>51869</v>
      </c>
      <c r="N306" s="361">
        <f t="shared" ref="N306:N323" si="53">M306/L306*100</f>
        <v>72.645658263305322</v>
      </c>
      <c r="O306" s="151">
        <f t="shared" si="49"/>
        <v>71400</v>
      </c>
      <c r="P306" s="151">
        <f t="shared" si="50"/>
        <v>51869</v>
      </c>
      <c r="Q306" s="361">
        <f t="shared" si="51"/>
        <v>72.645658263305322</v>
      </c>
    </row>
    <row r="307" spans="2:17" x14ac:dyDescent="0.2">
      <c r="B307" s="141">
        <f t="shared" si="52"/>
        <v>15</v>
      </c>
      <c r="C307" s="147"/>
      <c r="D307" s="147"/>
      <c r="E307" s="147"/>
      <c r="F307" s="148"/>
      <c r="G307" s="154">
        <v>713</v>
      </c>
      <c r="H307" s="152" t="s">
        <v>218</v>
      </c>
      <c r="I307" s="155"/>
      <c r="J307" s="155"/>
      <c r="K307" s="361"/>
      <c r="L307" s="155">
        <f>L308</f>
        <v>3200</v>
      </c>
      <c r="M307" s="155">
        <f>M308</f>
        <v>3143</v>
      </c>
      <c r="N307" s="361">
        <f t="shared" si="53"/>
        <v>98.21875</v>
      </c>
      <c r="O307" s="156">
        <f t="shared" si="49"/>
        <v>3200</v>
      </c>
      <c r="P307" s="156">
        <f t="shared" si="50"/>
        <v>3143</v>
      </c>
      <c r="Q307" s="361">
        <f t="shared" si="51"/>
        <v>98.21875</v>
      </c>
    </row>
    <row r="308" spans="2:17" x14ac:dyDescent="0.2">
      <c r="B308" s="141">
        <f t="shared" si="52"/>
        <v>16</v>
      </c>
      <c r="C308" s="147"/>
      <c r="D308" s="147"/>
      <c r="E308" s="147"/>
      <c r="F308" s="148"/>
      <c r="G308" s="163"/>
      <c r="H308" s="161" t="s">
        <v>616</v>
      </c>
      <c r="I308" s="164"/>
      <c r="J308" s="164"/>
      <c r="K308" s="361"/>
      <c r="L308" s="164">
        <v>3200</v>
      </c>
      <c r="M308" s="164">
        <v>3143</v>
      </c>
      <c r="N308" s="361">
        <f t="shared" si="53"/>
        <v>98.21875</v>
      </c>
      <c r="O308" s="165">
        <f t="shared" si="49"/>
        <v>3200</v>
      </c>
      <c r="P308" s="165">
        <f t="shared" si="50"/>
        <v>3143</v>
      </c>
      <c r="Q308" s="361">
        <f t="shared" si="51"/>
        <v>98.21875</v>
      </c>
    </row>
    <row r="309" spans="2:17" x14ac:dyDescent="0.2">
      <c r="B309" s="141">
        <f t="shared" si="52"/>
        <v>17</v>
      </c>
      <c r="C309" s="147"/>
      <c r="D309" s="147"/>
      <c r="E309" s="147"/>
      <c r="F309" s="148"/>
      <c r="G309" s="154">
        <v>714</v>
      </c>
      <c r="H309" s="152" t="s">
        <v>176</v>
      </c>
      <c r="I309" s="155"/>
      <c r="J309" s="155"/>
      <c r="K309" s="361"/>
      <c r="L309" s="155">
        <f>L310</f>
        <v>37000</v>
      </c>
      <c r="M309" s="155">
        <f>M310</f>
        <v>18200</v>
      </c>
      <c r="N309" s="361">
        <f t="shared" si="53"/>
        <v>49.189189189189193</v>
      </c>
      <c r="O309" s="156">
        <f t="shared" si="49"/>
        <v>37000</v>
      </c>
      <c r="P309" s="156">
        <f t="shared" si="50"/>
        <v>18200</v>
      </c>
      <c r="Q309" s="361">
        <f t="shared" si="51"/>
        <v>49.189189189189193</v>
      </c>
    </row>
    <row r="310" spans="2:17" x14ac:dyDescent="0.2">
      <c r="B310" s="141">
        <f t="shared" si="52"/>
        <v>18</v>
      </c>
      <c r="C310" s="147"/>
      <c r="D310" s="147"/>
      <c r="E310" s="147"/>
      <c r="F310" s="148"/>
      <c r="G310" s="163"/>
      <c r="H310" s="161" t="s">
        <v>617</v>
      </c>
      <c r="I310" s="164"/>
      <c r="J310" s="164"/>
      <c r="K310" s="361"/>
      <c r="L310" s="164">
        <v>37000</v>
      </c>
      <c r="M310" s="164">
        <v>18200</v>
      </c>
      <c r="N310" s="361">
        <f t="shared" si="53"/>
        <v>49.189189189189193</v>
      </c>
      <c r="O310" s="165">
        <f t="shared" si="49"/>
        <v>37000</v>
      </c>
      <c r="P310" s="165">
        <f t="shared" si="50"/>
        <v>18200</v>
      </c>
      <c r="Q310" s="361">
        <f t="shared" si="51"/>
        <v>49.189189189189193</v>
      </c>
    </row>
    <row r="311" spans="2:17" x14ac:dyDescent="0.2">
      <c r="B311" s="141">
        <f t="shared" si="52"/>
        <v>19</v>
      </c>
      <c r="C311" s="152"/>
      <c r="D311" s="152"/>
      <c r="E311" s="152"/>
      <c r="F311" s="148" t="s">
        <v>150</v>
      </c>
      <c r="G311" s="154">
        <v>717</v>
      </c>
      <c r="H311" s="152" t="s">
        <v>346</v>
      </c>
      <c r="I311" s="155"/>
      <c r="J311" s="155"/>
      <c r="K311" s="361"/>
      <c r="L311" s="155">
        <f>L312</f>
        <v>31200</v>
      </c>
      <c r="M311" s="155">
        <f>M312</f>
        <v>30526</v>
      </c>
      <c r="N311" s="361">
        <f t="shared" si="53"/>
        <v>97.839743589743591</v>
      </c>
      <c r="O311" s="156">
        <f t="shared" si="49"/>
        <v>31200</v>
      </c>
      <c r="P311" s="156">
        <f t="shared" si="50"/>
        <v>30526</v>
      </c>
      <c r="Q311" s="361">
        <f t="shared" si="51"/>
        <v>97.839743589743591</v>
      </c>
    </row>
    <row r="312" spans="2:17" x14ac:dyDescent="0.2">
      <c r="B312" s="141">
        <f t="shared" si="52"/>
        <v>20</v>
      </c>
      <c r="C312" s="161"/>
      <c r="D312" s="161"/>
      <c r="E312" s="161"/>
      <c r="F312" s="163"/>
      <c r="G312" s="163"/>
      <c r="H312" s="161" t="s">
        <v>426</v>
      </c>
      <c r="I312" s="164"/>
      <c r="J312" s="164"/>
      <c r="K312" s="361"/>
      <c r="L312" s="164">
        <f>26700+4500</f>
        <v>31200</v>
      </c>
      <c r="M312" s="164">
        <v>30526</v>
      </c>
      <c r="N312" s="361">
        <f t="shared" si="53"/>
        <v>97.839743589743591</v>
      </c>
      <c r="O312" s="165">
        <f t="shared" si="49"/>
        <v>31200</v>
      </c>
      <c r="P312" s="165">
        <f t="shared" si="50"/>
        <v>30526</v>
      </c>
      <c r="Q312" s="361">
        <f t="shared" si="51"/>
        <v>97.839743589743591</v>
      </c>
    </row>
    <row r="313" spans="2:17" ht="15" x14ac:dyDescent="0.2">
      <c r="B313" s="141">
        <f t="shared" si="52"/>
        <v>21</v>
      </c>
      <c r="C313" s="144">
        <v>2</v>
      </c>
      <c r="D313" s="528" t="s">
        <v>206</v>
      </c>
      <c r="E313" s="529"/>
      <c r="F313" s="529"/>
      <c r="G313" s="529"/>
      <c r="H313" s="529"/>
      <c r="I313" s="145">
        <f>I323</f>
        <v>984700</v>
      </c>
      <c r="J313" s="145">
        <f>J323</f>
        <v>795631</v>
      </c>
      <c r="K313" s="361">
        <f>J313/I313*100</f>
        <v>80.799329745100039</v>
      </c>
      <c r="L313" s="145">
        <f>L314+L323</f>
        <v>15089800</v>
      </c>
      <c r="M313" s="145">
        <f>M314+M323</f>
        <v>160014</v>
      </c>
      <c r="N313" s="361">
        <f t="shared" si="53"/>
        <v>1.0604116688093945</v>
      </c>
      <c r="O313" s="146">
        <f t="shared" si="49"/>
        <v>16074500</v>
      </c>
      <c r="P313" s="146">
        <f t="shared" si="50"/>
        <v>955645</v>
      </c>
      <c r="Q313" s="361">
        <f t="shared" si="51"/>
        <v>5.9450993810071848</v>
      </c>
    </row>
    <row r="314" spans="2:17" x14ac:dyDescent="0.2">
      <c r="B314" s="141">
        <f t="shared" si="52"/>
        <v>22</v>
      </c>
      <c r="C314" s="147"/>
      <c r="D314" s="147"/>
      <c r="E314" s="147"/>
      <c r="F314" s="148" t="s">
        <v>205</v>
      </c>
      <c r="G314" s="149">
        <v>710</v>
      </c>
      <c r="H314" s="147" t="s">
        <v>175</v>
      </c>
      <c r="I314" s="150"/>
      <c r="J314" s="150"/>
      <c r="K314" s="361"/>
      <c r="L314" s="150">
        <f>L315+L321</f>
        <v>14967300</v>
      </c>
      <c r="M314" s="150">
        <f>M315+M321</f>
        <v>37999</v>
      </c>
      <c r="N314" s="361">
        <f t="shared" si="53"/>
        <v>0.25388012533990767</v>
      </c>
      <c r="O314" s="151">
        <f t="shared" si="49"/>
        <v>14967300</v>
      </c>
      <c r="P314" s="151">
        <f t="shared" si="50"/>
        <v>37999</v>
      </c>
      <c r="Q314" s="361">
        <f t="shared" si="51"/>
        <v>0.25388012533990767</v>
      </c>
    </row>
    <row r="315" spans="2:17" s="22" customFormat="1" x14ac:dyDescent="0.2">
      <c r="B315" s="141">
        <f t="shared" si="52"/>
        <v>23</v>
      </c>
      <c r="C315" s="152"/>
      <c r="D315" s="152"/>
      <c r="E315" s="152"/>
      <c r="F315" s="153"/>
      <c r="G315" s="154">
        <v>716</v>
      </c>
      <c r="H315" s="152" t="s">
        <v>215</v>
      </c>
      <c r="I315" s="155"/>
      <c r="J315" s="155"/>
      <c r="K315" s="361"/>
      <c r="L315" s="155">
        <f>SUM(L316:L320)</f>
        <v>165300</v>
      </c>
      <c r="M315" s="155">
        <f>SUM(M316:M320)</f>
        <v>37999</v>
      </c>
      <c r="N315" s="361">
        <f t="shared" si="53"/>
        <v>22.987900786448883</v>
      </c>
      <c r="O315" s="156">
        <f t="shared" si="49"/>
        <v>165300</v>
      </c>
      <c r="P315" s="156">
        <f t="shared" si="50"/>
        <v>37999</v>
      </c>
      <c r="Q315" s="361">
        <f t="shared" si="51"/>
        <v>22.987900786448883</v>
      </c>
    </row>
    <row r="316" spans="2:17" x14ac:dyDescent="0.2">
      <c r="B316" s="141">
        <f t="shared" si="52"/>
        <v>24</v>
      </c>
      <c r="C316" s="152"/>
      <c r="D316" s="152"/>
      <c r="E316" s="152"/>
      <c r="F316" s="153"/>
      <c r="G316" s="154"/>
      <c r="H316" s="161" t="s">
        <v>546</v>
      </c>
      <c r="I316" s="155"/>
      <c r="J316" s="155"/>
      <c r="K316" s="361"/>
      <c r="L316" s="164">
        <v>3500</v>
      </c>
      <c r="M316" s="164">
        <v>1560</v>
      </c>
      <c r="N316" s="361">
        <f t="shared" si="53"/>
        <v>44.571428571428569</v>
      </c>
      <c r="O316" s="165">
        <f t="shared" si="49"/>
        <v>3500</v>
      </c>
      <c r="P316" s="165">
        <f t="shared" si="50"/>
        <v>1560</v>
      </c>
      <c r="Q316" s="361">
        <f t="shared" si="51"/>
        <v>44.571428571428569</v>
      </c>
    </row>
    <row r="317" spans="2:17" x14ac:dyDescent="0.2">
      <c r="B317" s="141">
        <f t="shared" si="52"/>
        <v>25</v>
      </c>
      <c r="C317" s="152"/>
      <c r="D317" s="152"/>
      <c r="E317" s="152"/>
      <c r="F317" s="153"/>
      <c r="G317" s="154"/>
      <c r="H317" s="161" t="s">
        <v>547</v>
      </c>
      <c r="I317" s="155"/>
      <c r="J317" s="155"/>
      <c r="K317" s="361"/>
      <c r="L317" s="164">
        <v>3500</v>
      </c>
      <c r="M317" s="164"/>
      <c r="N317" s="361">
        <f t="shared" si="53"/>
        <v>0</v>
      </c>
      <c r="O317" s="165">
        <f t="shared" si="49"/>
        <v>3500</v>
      </c>
      <c r="P317" s="165">
        <f t="shared" si="50"/>
        <v>0</v>
      </c>
      <c r="Q317" s="361">
        <f t="shared" si="51"/>
        <v>0</v>
      </c>
    </row>
    <row r="318" spans="2:17" x14ac:dyDescent="0.2">
      <c r="B318" s="141">
        <f t="shared" si="52"/>
        <v>26</v>
      </c>
      <c r="C318" s="152"/>
      <c r="D318" s="152"/>
      <c r="E318" s="152"/>
      <c r="F318" s="153"/>
      <c r="G318" s="154"/>
      <c r="H318" s="161" t="s">
        <v>671</v>
      </c>
      <c r="I318" s="155"/>
      <c r="J318" s="155"/>
      <c r="K318" s="361"/>
      <c r="L318" s="164">
        <v>7600</v>
      </c>
      <c r="M318" s="164">
        <v>5880</v>
      </c>
      <c r="N318" s="361">
        <f t="shared" si="53"/>
        <v>77.368421052631575</v>
      </c>
      <c r="O318" s="165">
        <f t="shared" si="49"/>
        <v>7600</v>
      </c>
      <c r="P318" s="165">
        <f t="shared" si="50"/>
        <v>5880</v>
      </c>
      <c r="Q318" s="361">
        <f t="shared" si="51"/>
        <v>77.368421052631575</v>
      </c>
    </row>
    <row r="319" spans="2:17" x14ac:dyDescent="0.2">
      <c r="B319" s="141">
        <f t="shared" si="52"/>
        <v>27</v>
      </c>
      <c r="C319" s="161"/>
      <c r="D319" s="161"/>
      <c r="E319" s="161"/>
      <c r="F319" s="163"/>
      <c r="G319" s="163"/>
      <c r="H319" s="161" t="s">
        <v>427</v>
      </c>
      <c r="I319" s="164"/>
      <c r="J319" s="164"/>
      <c r="K319" s="361"/>
      <c r="L319" s="164">
        <v>2700</v>
      </c>
      <c r="M319" s="164"/>
      <c r="N319" s="361">
        <f t="shared" si="53"/>
        <v>0</v>
      </c>
      <c r="O319" s="165">
        <f t="shared" si="49"/>
        <v>2700</v>
      </c>
      <c r="P319" s="165">
        <f t="shared" si="50"/>
        <v>0</v>
      </c>
      <c r="Q319" s="361">
        <f t="shared" si="51"/>
        <v>0</v>
      </c>
    </row>
    <row r="320" spans="2:17" x14ac:dyDescent="0.2">
      <c r="B320" s="141">
        <f t="shared" si="52"/>
        <v>28</v>
      </c>
      <c r="C320" s="161"/>
      <c r="D320" s="161"/>
      <c r="E320" s="161"/>
      <c r="F320" s="163"/>
      <c r="G320" s="163"/>
      <c r="H320" s="161" t="s">
        <v>428</v>
      </c>
      <c r="I320" s="164"/>
      <c r="J320" s="164"/>
      <c r="K320" s="361"/>
      <c r="L320" s="164">
        <v>148000</v>
      </c>
      <c r="M320" s="164">
        <v>30559</v>
      </c>
      <c r="N320" s="361">
        <f t="shared" si="53"/>
        <v>20.647972972972973</v>
      </c>
      <c r="O320" s="165">
        <f t="shared" si="49"/>
        <v>148000</v>
      </c>
      <c r="P320" s="165">
        <f t="shared" si="50"/>
        <v>30559</v>
      </c>
      <c r="Q320" s="361">
        <f t="shared" si="51"/>
        <v>20.647972972972973</v>
      </c>
    </row>
    <row r="321" spans="2:17" x14ac:dyDescent="0.2">
      <c r="B321" s="141">
        <f t="shared" si="52"/>
        <v>29</v>
      </c>
      <c r="C321" s="152"/>
      <c r="D321" s="152"/>
      <c r="E321" s="152"/>
      <c r="F321" s="153"/>
      <c r="G321" s="154">
        <v>717</v>
      </c>
      <c r="H321" s="152" t="s">
        <v>182</v>
      </c>
      <c r="I321" s="155"/>
      <c r="J321" s="155"/>
      <c r="K321" s="361"/>
      <c r="L321" s="155">
        <f>SUM(L322:L322)</f>
        <v>14802000</v>
      </c>
      <c r="M321" s="155">
        <f>SUM(M322:M322)</f>
        <v>0</v>
      </c>
      <c r="N321" s="361">
        <f t="shared" si="53"/>
        <v>0</v>
      </c>
      <c r="O321" s="156">
        <f t="shared" si="49"/>
        <v>14802000</v>
      </c>
      <c r="P321" s="156">
        <f t="shared" si="50"/>
        <v>0</v>
      </c>
      <c r="Q321" s="361">
        <f t="shared" si="51"/>
        <v>0</v>
      </c>
    </row>
    <row r="322" spans="2:17" x14ac:dyDescent="0.2">
      <c r="B322" s="141">
        <f t="shared" si="52"/>
        <v>30</v>
      </c>
      <c r="C322" s="161"/>
      <c r="D322" s="161"/>
      <c r="E322" s="161"/>
      <c r="F322" s="163"/>
      <c r="G322" s="163"/>
      <c r="H322" s="161" t="s">
        <v>428</v>
      </c>
      <c r="I322" s="164"/>
      <c r="J322" s="164"/>
      <c r="K322" s="361"/>
      <c r="L322" s="164">
        <f>6440000+8362000</f>
        <v>14802000</v>
      </c>
      <c r="M322" s="164"/>
      <c r="N322" s="361">
        <f t="shared" si="53"/>
        <v>0</v>
      </c>
      <c r="O322" s="165">
        <f t="shared" si="49"/>
        <v>14802000</v>
      </c>
      <c r="P322" s="165">
        <f t="shared" si="50"/>
        <v>0</v>
      </c>
      <c r="Q322" s="361">
        <f t="shared" si="51"/>
        <v>0</v>
      </c>
    </row>
    <row r="323" spans="2:17" ht="15" x14ac:dyDescent="0.25">
      <c r="B323" s="141">
        <f t="shared" si="52"/>
        <v>31</v>
      </c>
      <c r="C323" s="166"/>
      <c r="D323" s="166"/>
      <c r="E323" s="166">
        <v>2</v>
      </c>
      <c r="F323" s="167"/>
      <c r="G323" s="167"/>
      <c r="H323" s="166" t="s">
        <v>11</v>
      </c>
      <c r="I323" s="168">
        <f>I324+I325+I326+I332</f>
        <v>984700</v>
      </c>
      <c r="J323" s="168">
        <f>J324+J325+J326+J332</f>
        <v>795631</v>
      </c>
      <c r="K323" s="361">
        <f t="shared" ref="K323:K332" si="54">J323/I323*100</f>
        <v>80.799329745100039</v>
      </c>
      <c r="L323" s="168">
        <f>L333</f>
        <v>122500</v>
      </c>
      <c r="M323" s="168">
        <f>M333</f>
        <v>122015</v>
      </c>
      <c r="N323" s="361">
        <f t="shared" si="53"/>
        <v>99.604081632653063</v>
      </c>
      <c r="O323" s="169">
        <f t="shared" si="49"/>
        <v>1107200</v>
      </c>
      <c r="P323" s="169">
        <f t="shared" si="50"/>
        <v>917646</v>
      </c>
      <c r="Q323" s="361">
        <f t="shared" si="51"/>
        <v>82.879877167630056</v>
      </c>
    </row>
    <row r="324" spans="2:17" x14ac:dyDescent="0.2">
      <c r="B324" s="141">
        <f t="shared" si="52"/>
        <v>32</v>
      </c>
      <c r="C324" s="147"/>
      <c r="D324" s="147"/>
      <c r="E324" s="147"/>
      <c r="F324" s="148" t="s">
        <v>205</v>
      </c>
      <c r="G324" s="149">
        <v>610</v>
      </c>
      <c r="H324" s="147" t="s">
        <v>131</v>
      </c>
      <c r="I324" s="150">
        <f>68250-1700</f>
        <v>66550</v>
      </c>
      <c r="J324" s="150">
        <v>44040</v>
      </c>
      <c r="K324" s="361">
        <f t="shared" si="54"/>
        <v>66.175807663410964</v>
      </c>
      <c r="L324" s="150"/>
      <c r="M324" s="150"/>
      <c r="N324" s="361"/>
      <c r="O324" s="151">
        <f t="shared" si="49"/>
        <v>66550</v>
      </c>
      <c r="P324" s="151">
        <f t="shared" si="50"/>
        <v>44040</v>
      </c>
      <c r="Q324" s="361">
        <f t="shared" si="51"/>
        <v>66.175807663410964</v>
      </c>
    </row>
    <row r="325" spans="2:17" x14ac:dyDescent="0.2">
      <c r="B325" s="141">
        <f t="shared" si="52"/>
        <v>33</v>
      </c>
      <c r="C325" s="147"/>
      <c r="D325" s="147"/>
      <c r="E325" s="147"/>
      <c r="F325" s="148" t="s">
        <v>205</v>
      </c>
      <c r="G325" s="149">
        <v>620</v>
      </c>
      <c r="H325" s="147" t="s">
        <v>124</v>
      </c>
      <c r="I325" s="150">
        <f>28450-600</f>
        <v>27850</v>
      </c>
      <c r="J325" s="150">
        <v>18436</v>
      </c>
      <c r="K325" s="361">
        <f t="shared" si="54"/>
        <v>66.197486535008977</v>
      </c>
      <c r="L325" s="150"/>
      <c r="M325" s="150"/>
      <c r="N325" s="361"/>
      <c r="O325" s="151">
        <f t="shared" ref="O325:O356" si="55">I325+L325</f>
        <v>27850</v>
      </c>
      <c r="P325" s="151">
        <f t="shared" ref="P325:P356" si="56">J325+M325</f>
        <v>18436</v>
      </c>
      <c r="Q325" s="361">
        <f t="shared" ref="Q325:Q356" si="57">P325/O325*100</f>
        <v>66.197486535008977</v>
      </c>
    </row>
    <row r="326" spans="2:17" x14ac:dyDescent="0.2">
      <c r="B326" s="141">
        <f t="shared" ref="B326:B362" si="58">B325+1</f>
        <v>34</v>
      </c>
      <c r="C326" s="147"/>
      <c r="D326" s="147"/>
      <c r="E326" s="147"/>
      <c r="F326" s="148" t="s">
        <v>205</v>
      </c>
      <c r="G326" s="149">
        <v>630</v>
      </c>
      <c r="H326" s="147" t="s">
        <v>121</v>
      </c>
      <c r="I326" s="150">
        <f>I331+I330+I329+I328+I327</f>
        <v>887000</v>
      </c>
      <c r="J326" s="150">
        <f>J331+J330+J329+J328+J327</f>
        <v>731584</v>
      </c>
      <c r="K326" s="361">
        <f t="shared" si="54"/>
        <v>82.478466741826381</v>
      </c>
      <c r="L326" s="150"/>
      <c r="M326" s="150"/>
      <c r="N326" s="361"/>
      <c r="O326" s="151">
        <f t="shared" si="55"/>
        <v>887000</v>
      </c>
      <c r="P326" s="151">
        <f t="shared" si="56"/>
        <v>731584</v>
      </c>
      <c r="Q326" s="361">
        <f t="shared" si="57"/>
        <v>82.478466741826381</v>
      </c>
    </row>
    <row r="327" spans="2:17" x14ac:dyDescent="0.2">
      <c r="B327" s="141">
        <f t="shared" si="58"/>
        <v>35</v>
      </c>
      <c r="C327" s="152"/>
      <c r="D327" s="152"/>
      <c r="E327" s="152"/>
      <c r="F327" s="153"/>
      <c r="G327" s="154">
        <v>632</v>
      </c>
      <c r="H327" s="152" t="s">
        <v>134</v>
      </c>
      <c r="I327" s="155">
        <f>780000-27000</f>
        <v>753000</v>
      </c>
      <c r="J327" s="155">
        <v>606214</v>
      </c>
      <c r="K327" s="361">
        <f t="shared" si="54"/>
        <v>80.506507304116866</v>
      </c>
      <c r="L327" s="155"/>
      <c r="M327" s="155"/>
      <c r="N327" s="361"/>
      <c r="O327" s="156">
        <f t="shared" si="55"/>
        <v>753000</v>
      </c>
      <c r="P327" s="156">
        <f t="shared" si="56"/>
        <v>606214</v>
      </c>
      <c r="Q327" s="361">
        <f t="shared" si="57"/>
        <v>80.506507304116866</v>
      </c>
    </row>
    <row r="328" spans="2:17" ht="13.5" customHeight="1" x14ac:dyDescent="0.2">
      <c r="B328" s="141">
        <f t="shared" si="58"/>
        <v>36</v>
      </c>
      <c r="C328" s="152"/>
      <c r="D328" s="152"/>
      <c r="E328" s="152"/>
      <c r="F328" s="153"/>
      <c r="G328" s="154">
        <v>633</v>
      </c>
      <c r="H328" s="152" t="s">
        <v>125</v>
      </c>
      <c r="I328" s="155">
        <v>38000</v>
      </c>
      <c r="J328" s="155">
        <v>33344</v>
      </c>
      <c r="K328" s="361">
        <f t="shared" si="54"/>
        <v>87.747368421052627</v>
      </c>
      <c r="L328" s="155"/>
      <c r="M328" s="155"/>
      <c r="N328" s="361"/>
      <c r="O328" s="156">
        <f t="shared" si="55"/>
        <v>38000</v>
      </c>
      <c r="P328" s="156">
        <f t="shared" si="56"/>
        <v>33344</v>
      </c>
      <c r="Q328" s="361">
        <f t="shared" si="57"/>
        <v>87.747368421052627</v>
      </c>
    </row>
    <row r="329" spans="2:17" ht="12.75" customHeight="1" x14ac:dyDescent="0.2">
      <c r="B329" s="141">
        <f t="shared" si="58"/>
        <v>37</v>
      </c>
      <c r="C329" s="152"/>
      <c r="D329" s="152"/>
      <c r="E329" s="152"/>
      <c r="F329" s="153"/>
      <c r="G329" s="154">
        <v>634</v>
      </c>
      <c r="H329" s="152" t="s">
        <v>132</v>
      </c>
      <c r="I329" s="155">
        <v>7000</v>
      </c>
      <c r="J329" s="155">
        <v>6676</v>
      </c>
      <c r="K329" s="361">
        <f t="shared" si="54"/>
        <v>95.371428571428567</v>
      </c>
      <c r="L329" s="155"/>
      <c r="M329" s="155"/>
      <c r="N329" s="361"/>
      <c r="O329" s="156">
        <f t="shared" si="55"/>
        <v>7000</v>
      </c>
      <c r="P329" s="156">
        <f t="shared" si="56"/>
        <v>6676</v>
      </c>
      <c r="Q329" s="361">
        <f t="shared" si="57"/>
        <v>95.371428571428567</v>
      </c>
    </row>
    <row r="330" spans="2:17" x14ac:dyDescent="0.2">
      <c r="B330" s="141">
        <f t="shared" si="58"/>
        <v>38</v>
      </c>
      <c r="C330" s="152"/>
      <c r="D330" s="152"/>
      <c r="E330" s="152"/>
      <c r="F330" s="153"/>
      <c r="G330" s="154">
        <v>635</v>
      </c>
      <c r="H330" s="152" t="s">
        <v>133</v>
      </c>
      <c r="I330" s="155">
        <v>20000</v>
      </c>
      <c r="J330" s="155">
        <v>19920</v>
      </c>
      <c r="K330" s="361">
        <f t="shared" si="54"/>
        <v>99.6</v>
      </c>
      <c r="L330" s="155"/>
      <c r="M330" s="155"/>
      <c r="N330" s="361"/>
      <c r="O330" s="156">
        <f t="shared" si="55"/>
        <v>20000</v>
      </c>
      <c r="P330" s="156">
        <f t="shared" si="56"/>
        <v>19920</v>
      </c>
      <c r="Q330" s="361">
        <f t="shared" si="57"/>
        <v>99.6</v>
      </c>
    </row>
    <row r="331" spans="2:17" x14ac:dyDescent="0.2">
      <c r="B331" s="141">
        <f t="shared" si="58"/>
        <v>39</v>
      </c>
      <c r="C331" s="152"/>
      <c r="D331" s="152"/>
      <c r="E331" s="152"/>
      <c r="F331" s="153"/>
      <c r="G331" s="154">
        <v>637</v>
      </c>
      <c r="H331" s="152" t="s">
        <v>122</v>
      </c>
      <c r="I331" s="155">
        <f>42000+27000</f>
        <v>69000</v>
      </c>
      <c r="J331" s="155">
        <v>65430</v>
      </c>
      <c r="K331" s="361">
        <f t="shared" si="54"/>
        <v>94.826086956521735</v>
      </c>
      <c r="L331" s="155"/>
      <c r="M331" s="155"/>
      <c r="N331" s="361"/>
      <c r="O331" s="156">
        <f t="shared" si="55"/>
        <v>69000</v>
      </c>
      <c r="P331" s="156">
        <f t="shared" si="56"/>
        <v>65430</v>
      </c>
      <c r="Q331" s="361">
        <f t="shared" si="57"/>
        <v>94.826086956521735</v>
      </c>
    </row>
    <row r="332" spans="2:17" x14ac:dyDescent="0.2">
      <c r="B332" s="141">
        <f t="shared" si="58"/>
        <v>40</v>
      </c>
      <c r="C332" s="147"/>
      <c r="D332" s="147"/>
      <c r="E332" s="147"/>
      <c r="F332" s="148" t="s">
        <v>205</v>
      </c>
      <c r="G332" s="149">
        <v>640</v>
      </c>
      <c r="H332" s="147" t="s">
        <v>129</v>
      </c>
      <c r="I332" s="150">
        <v>3300</v>
      </c>
      <c r="J332" s="150">
        <v>1571</v>
      </c>
      <c r="K332" s="361">
        <f t="shared" si="54"/>
        <v>47.606060606060609</v>
      </c>
      <c r="L332" s="150"/>
      <c r="M332" s="150"/>
      <c r="N332" s="361"/>
      <c r="O332" s="151">
        <f t="shared" si="55"/>
        <v>3300</v>
      </c>
      <c r="P332" s="151">
        <f t="shared" si="56"/>
        <v>1571</v>
      </c>
      <c r="Q332" s="361">
        <f t="shared" si="57"/>
        <v>47.606060606060609</v>
      </c>
    </row>
    <row r="333" spans="2:17" x14ac:dyDescent="0.2">
      <c r="B333" s="141">
        <f t="shared" si="58"/>
        <v>41</v>
      </c>
      <c r="C333" s="147"/>
      <c r="D333" s="147"/>
      <c r="E333" s="147"/>
      <c r="F333" s="148" t="s">
        <v>205</v>
      </c>
      <c r="G333" s="149">
        <v>710</v>
      </c>
      <c r="H333" s="147" t="s">
        <v>175</v>
      </c>
      <c r="I333" s="150"/>
      <c r="J333" s="150"/>
      <c r="K333" s="361"/>
      <c r="L333" s="150">
        <f>L334+L336+L338</f>
        <v>122500</v>
      </c>
      <c r="M333" s="150">
        <f>M334+M336+M338</f>
        <v>122015</v>
      </c>
      <c r="N333" s="361">
        <f t="shared" ref="N333:N340" si="59">M333/L333*100</f>
        <v>99.604081632653063</v>
      </c>
      <c r="O333" s="151">
        <f t="shared" si="55"/>
        <v>122500</v>
      </c>
      <c r="P333" s="151">
        <f t="shared" si="56"/>
        <v>122015</v>
      </c>
      <c r="Q333" s="361">
        <f t="shared" si="57"/>
        <v>99.604081632653063</v>
      </c>
    </row>
    <row r="334" spans="2:17" x14ac:dyDescent="0.2">
      <c r="B334" s="141">
        <f t="shared" si="58"/>
        <v>42</v>
      </c>
      <c r="C334" s="147"/>
      <c r="D334" s="147"/>
      <c r="E334" s="147"/>
      <c r="F334" s="148"/>
      <c r="G334" s="154">
        <v>713</v>
      </c>
      <c r="H334" s="152" t="s">
        <v>218</v>
      </c>
      <c r="I334" s="150"/>
      <c r="J334" s="150"/>
      <c r="K334" s="361"/>
      <c r="L334" s="155">
        <f>L335</f>
        <v>2000</v>
      </c>
      <c r="M334" s="155">
        <f>M335</f>
        <v>1890</v>
      </c>
      <c r="N334" s="361">
        <f t="shared" si="59"/>
        <v>94.5</v>
      </c>
      <c r="O334" s="156">
        <f t="shared" si="55"/>
        <v>2000</v>
      </c>
      <c r="P334" s="156">
        <f t="shared" si="56"/>
        <v>1890</v>
      </c>
      <c r="Q334" s="361">
        <f t="shared" si="57"/>
        <v>94.5</v>
      </c>
    </row>
    <row r="335" spans="2:17" x14ac:dyDescent="0.2">
      <c r="B335" s="141">
        <f t="shared" si="58"/>
        <v>43</v>
      </c>
      <c r="C335" s="147"/>
      <c r="D335" s="147"/>
      <c r="E335" s="147"/>
      <c r="F335" s="148"/>
      <c r="G335" s="163"/>
      <c r="H335" s="161" t="s">
        <v>450</v>
      </c>
      <c r="I335" s="164"/>
      <c r="J335" s="164"/>
      <c r="K335" s="361"/>
      <c r="L335" s="164">
        <v>2000</v>
      </c>
      <c r="M335" s="164">
        <v>1890</v>
      </c>
      <c r="N335" s="361">
        <f t="shared" si="59"/>
        <v>94.5</v>
      </c>
      <c r="O335" s="165">
        <f t="shared" si="55"/>
        <v>2000</v>
      </c>
      <c r="P335" s="165">
        <f t="shared" si="56"/>
        <v>1890</v>
      </c>
      <c r="Q335" s="361">
        <f t="shared" si="57"/>
        <v>94.5</v>
      </c>
    </row>
    <row r="336" spans="2:17" x14ac:dyDescent="0.2">
      <c r="B336" s="141">
        <f t="shared" si="58"/>
        <v>44</v>
      </c>
      <c r="C336" s="147"/>
      <c r="D336" s="147"/>
      <c r="E336" s="147"/>
      <c r="F336" s="148"/>
      <c r="G336" s="154">
        <v>714</v>
      </c>
      <c r="H336" s="152" t="s">
        <v>176</v>
      </c>
      <c r="I336" s="150"/>
      <c r="J336" s="150"/>
      <c r="K336" s="361"/>
      <c r="L336" s="164">
        <f>L337</f>
        <v>103500</v>
      </c>
      <c r="M336" s="164">
        <f>M337</f>
        <v>103440</v>
      </c>
      <c r="N336" s="361">
        <f t="shared" si="59"/>
        <v>99.94202898550725</v>
      </c>
      <c r="O336" s="165">
        <f t="shared" si="55"/>
        <v>103500</v>
      </c>
      <c r="P336" s="165">
        <f t="shared" si="56"/>
        <v>103440</v>
      </c>
      <c r="Q336" s="361">
        <f t="shared" si="57"/>
        <v>99.94202898550725</v>
      </c>
    </row>
    <row r="337" spans="2:17" x14ac:dyDescent="0.2">
      <c r="B337" s="141">
        <f t="shared" si="58"/>
        <v>45</v>
      </c>
      <c r="C337" s="147"/>
      <c r="D337" s="147"/>
      <c r="E337" s="147"/>
      <c r="F337" s="148"/>
      <c r="G337" s="163"/>
      <c r="H337" s="161" t="s">
        <v>618</v>
      </c>
      <c r="I337" s="164"/>
      <c r="J337" s="164"/>
      <c r="K337" s="361"/>
      <c r="L337" s="164">
        <f>120000-16500</f>
        <v>103500</v>
      </c>
      <c r="M337" s="164">
        <v>103440</v>
      </c>
      <c r="N337" s="361">
        <f t="shared" si="59"/>
        <v>99.94202898550725</v>
      </c>
      <c r="O337" s="165">
        <f t="shared" si="55"/>
        <v>103500</v>
      </c>
      <c r="P337" s="165">
        <f t="shared" si="56"/>
        <v>103440</v>
      </c>
      <c r="Q337" s="361">
        <f t="shared" si="57"/>
        <v>99.94202898550725</v>
      </c>
    </row>
    <row r="338" spans="2:17" x14ac:dyDescent="0.2">
      <c r="B338" s="141">
        <f t="shared" si="58"/>
        <v>46</v>
      </c>
      <c r="C338" s="147"/>
      <c r="D338" s="147"/>
      <c r="E338" s="147"/>
      <c r="F338" s="148"/>
      <c r="G338" s="163">
        <v>718</v>
      </c>
      <c r="H338" s="161" t="s">
        <v>80</v>
      </c>
      <c r="I338" s="164"/>
      <c r="J338" s="164"/>
      <c r="K338" s="361"/>
      <c r="L338" s="164">
        <f>L339</f>
        <v>17000</v>
      </c>
      <c r="M338" s="164">
        <f>M339</f>
        <v>16685</v>
      </c>
      <c r="N338" s="361">
        <f t="shared" si="59"/>
        <v>98.147058823529406</v>
      </c>
      <c r="O338" s="165">
        <f t="shared" si="55"/>
        <v>17000</v>
      </c>
      <c r="P338" s="165">
        <f t="shared" si="56"/>
        <v>16685</v>
      </c>
      <c r="Q338" s="361">
        <f t="shared" si="57"/>
        <v>98.147058823529406</v>
      </c>
    </row>
    <row r="339" spans="2:17" x14ac:dyDescent="0.2">
      <c r="B339" s="141">
        <f t="shared" si="58"/>
        <v>47</v>
      </c>
      <c r="C339" s="147"/>
      <c r="D339" s="147"/>
      <c r="E339" s="147"/>
      <c r="F339" s="148"/>
      <c r="G339" s="163"/>
      <c r="H339" s="161" t="s">
        <v>696</v>
      </c>
      <c r="I339" s="164"/>
      <c r="J339" s="164"/>
      <c r="K339" s="361"/>
      <c r="L339" s="164">
        <v>17000</v>
      </c>
      <c r="M339" s="164">
        <v>16685</v>
      </c>
      <c r="N339" s="361">
        <f t="shared" si="59"/>
        <v>98.147058823529406</v>
      </c>
      <c r="O339" s="165">
        <f t="shared" si="55"/>
        <v>17000</v>
      </c>
      <c r="P339" s="165">
        <f t="shared" si="56"/>
        <v>16685</v>
      </c>
      <c r="Q339" s="361">
        <f t="shared" si="57"/>
        <v>98.147058823529406</v>
      </c>
    </row>
    <row r="340" spans="2:17" ht="15" x14ac:dyDescent="0.2">
      <c r="B340" s="141">
        <f t="shared" si="58"/>
        <v>48</v>
      </c>
      <c r="C340" s="144">
        <v>3</v>
      </c>
      <c r="D340" s="528" t="s">
        <v>230</v>
      </c>
      <c r="E340" s="529"/>
      <c r="F340" s="529"/>
      <c r="G340" s="529"/>
      <c r="H340" s="529"/>
      <c r="I340" s="145">
        <f>I341</f>
        <v>11750</v>
      </c>
      <c r="J340" s="145">
        <f>J341</f>
        <v>11750</v>
      </c>
      <c r="K340" s="361">
        <f>J340/I340*100</f>
        <v>100</v>
      </c>
      <c r="L340" s="145">
        <f>L343</f>
        <v>30000</v>
      </c>
      <c r="M340" s="145">
        <f>M343</f>
        <v>27829</v>
      </c>
      <c r="N340" s="361">
        <f t="shared" si="59"/>
        <v>92.763333333333335</v>
      </c>
      <c r="O340" s="146">
        <f t="shared" si="55"/>
        <v>41750</v>
      </c>
      <c r="P340" s="146">
        <f t="shared" si="56"/>
        <v>39579</v>
      </c>
      <c r="Q340" s="361">
        <f t="shared" si="57"/>
        <v>94.8</v>
      </c>
    </row>
    <row r="341" spans="2:17" x14ac:dyDescent="0.2">
      <c r="B341" s="141">
        <f t="shared" si="58"/>
        <v>49</v>
      </c>
      <c r="C341" s="147"/>
      <c r="D341" s="147"/>
      <c r="E341" s="147"/>
      <c r="F341" s="148" t="s">
        <v>192</v>
      </c>
      <c r="G341" s="149">
        <v>630</v>
      </c>
      <c r="H341" s="147" t="s">
        <v>121</v>
      </c>
      <c r="I341" s="150">
        <f>I342</f>
        <v>11750</v>
      </c>
      <c r="J341" s="150">
        <f>J342</f>
        <v>11750</v>
      </c>
      <c r="K341" s="361">
        <f>J341/I341*100</f>
        <v>100</v>
      </c>
      <c r="L341" s="150"/>
      <c r="M341" s="150"/>
      <c r="N341" s="361"/>
      <c r="O341" s="151">
        <f t="shared" si="55"/>
        <v>11750</v>
      </c>
      <c r="P341" s="151">
        <f t="shared" si="56"/>
        <v>11750</v>
      </c>
      <c r="Q341" s="361">
        <f t="shared" si="57"/>
        <v>100</v>
      </c>
    </row>
    <row r="342" spans="2:17" x14ac:dyDescent="0.2">
      <c r="B342" s="141">
        <f t="shared" si="58"/>
        <v>50</v>
      </c>
      <c r="C342" s="152"/>
      <c r="D342" s="152"/>
      <c r="E342" s="152"/>
      <c r="F342" s="153"/>
      <c r="G342" s="154">
        <v>635</v>
      </c>
      <c r="H342" s="152" t="s">
        <v>133</v>
      </c>
      <c r="I342" s="155">
        <v>11750</v>
      </c>
      <c r="J342" s="155">
        <v>11750</v>
      </c>
      <c r="K342" s="361">
        <f>J342/I342*100</f>
        <v>100</v>
      </c>
      <c r="L342" s="155"/>
      <c r="M342" s="155"/>
      <c r="N342" s="361"/>
      <c r="O342" s="156">
        <f t="shared" si="55"/>
        <v>11750</v>
      </c>
      <c r="P342" s="156">
        <f t="shared" si="56"/>
        <v>11750</v>
      </c>
      <c r="Q342" s="361">
        <f t="shared" si="57"/>
        <v>100</v>
      </c>
    </row>
    <row r="343" spans="2:17" x14ac:dyDescent="0.2">
      <c r="B343" s="141">
        <f t="shared" si="58"/>
        <v>51</v>
      </c>
      <c r="C343" s="147"/>
      <c r="D343" s="147"/>
      <c r="E343" s="147"/>
      <c r="F343" s="148" t="s">
        <v>192</v>
      </c>
      <c r="G343" s="149">
        <v>710</v>
      </c>
      <c r="H343" s="147" t="s">
        <v>175</v>
      </c>
      <c r="I343" s="150"/>
      <c r="J343" s="150"/>
      <c r="K343" s="361"/>
      <c r="L343" s="150">
        <f>L344</f>
        <v>30000</v>
      </c>
      <c r="M343" s="150">
        <f>M344</f>
        <v>27829</v>
      </c>
      <c r="N343" s="361">
        <f>M343/L343*100</f>
        <v>92.763333333333335</v>
      </c>
      <c r="O343" s="151">
        <f t="shared" si="55"/>
        <v>30000</v>
      </c>
      <c r="P343" s="151">
        <f t="shared" si="56"/>
        <v>27829</v>
      </c>
      <c r="Q343" s="361">
        <f t="shared" si="57"/>
        <v>92.763333333333335</v>
      </c>
    </row>
    <row r="344" spans="2:17" x14ac:dyDescent="0.2">
      <c r="B344" s="141">
        <f t="shared" si="58"/>
        <v>52</v>
      </c>
      <c r="C344" s="152"/>
      <c r="D344" s="152"/>
      <c r="E344" s="152"/>
      <c r="F344" s="153"/>
      <c r="G344" s="154">
        <v>713</v>
      </c>
      <c r="H344" s="152" t="s">
        <v>218</v>
      </c>
      <c r="I344" s="155"/>
      <c r="J344" s="155"/>
      <c r="K344" s="361"/>
      <c r="L344" s="155">
        <f>L345</f>
        <v>30000</v>
      </c>
      <c r="M344" s="155">
        <f>M345</f>
        <v>27829</v>
      </c>
      <c r="N344" s="361">
        <f>M344/L344*100</f>
        <v>92.763333333333335</v>
      </c>
      <c r="O344" s="156">
        <f t="shared" si="55"/>
        <v>30000</v>
      </c>
      <c r="P344" s="156">
        <f t="shared" si="56"/>
        <v>27829</v>
      </c>
      <c r="Q344" s="361">
        <f t="shared" si="57"/>
        <v>92.763333333333335</v>
      </c>
    </row>
    <row r="345" spans="2:17" x14ac:dyDescent="0.2">
      <c r="B345" s="141">
        <f t="shared" si="58"/>
        <v>53</v>
      </c>
      <c r="C345" s="161"/>
      <c r="D345" s="161"/>
      <c r="E345" s="161"/>
      <c r="F345" s="163"/>
      <c r="G345" s="163"/>
      <c r="H345" s="161" t="s">
        <v>289</v>
      </c>
      <c r="I345" s="164"/>
      <c r="J345" s="164"/>
      <c r="K345" s="361"/>
      <c r="L345" s="164">
        <v>30000</v>
      </c>
      <c r="M345" s="164">
        <v>27829</v>
      </c>
      <c r="N345" s="361">
        <f>M345/L345*100</f>
        <v>92.763333333333335</v>
      </c>
      <c r="O345" s="165">
        <f t="shared" si="55"/>
        <v>30000</v>
      </c>
      <c r="P345" s="165">
        <f t="shared" si="56"/>
        <v>27829</v>
      </c>
      <c r="Q345" s="361">
        <f t="shared" si="57"/>
        <v>92.763333333333335</v>
      </c>
    </row>
    <row r="346" spans="2:17" ht="15" x14ac:dyDescent="0.2">
      <c r="B346" s="141">
        <f t="shared" si="58"/>
        <v>54</v>
      </c>
      <c r="C346" s="144">
        <v>4</v>
      </c>
      <c r="D346" s="528" t="s">
        <v>157</v>
      </c>
      <c r="E346" s="529"/>
      <c r="F346" s="529"/>
      <c r="G346" s="529"/>
      <c r="H346" s="529"/>
      <c r="I346" s="145">
        <f>I347</f>
        <v>49450</v>
      </c>
      <c r="J346" s="145">
        <f>J347</f>
        <v>36059</v>
      </c>
      <c r="K346" s="361">
        <f t="shared" ref="K346:K359" si="60">J346/I346*100</f>
        <v>72.920121334681497</v>
      </c>
      <c r="L346" s="145"/>
      <c r="M346" s="145"/>
      <c r="N346" s="361"/>
      <c r="O346" s="146">
        <f t="shared" si="55"/>
        <v>49450</v>
      </c>
      <c r="P346" s="146">
        <f t="shared" si="56"/>
        <v>36059</v>
      </c>
      <c r="Q346" s="361">
        <f t="shared" si="57"/>
        <v>72.920121334681497</v>
      </c>
    </row>
    <row r="347" spans="2:17" x14ac:dyDescent="0.2">
      <c r="B347" s="141">
        <f t="shared" si="58"/>
        <v>55</v>
      </c>
      <c r="C347" s="147"/>
      <c r="D347" s="147"/>
      <c r="E347" s="147"/>
      <c r="F347" s="148" t="s">
        <v>156</v>
      </c>
      <c r="G347" s="149">
        <v>630</v>
      </c>
      <c r="H347" s="147" t="s">
        <v>121</v>
      </c>
      <c r="I347" s="150">
        <f>SUM(I348:I350)</f>
        <v>49450</v>
      </c>
      <c r="J347" s="150">
        <f>SUM(J348:J350)</f>
        <v>36059</v>
      </c>
      <c r="K347" s="361">
        <f t="shared" si="60"/>
        <v>72.920121334681497</v>
      </c>
      <c r="L347" s="150"/>
      <c r="M347" s="150"/>
      <c r="N347" s="361"/>
      <c r="O347" s="151">
        <f t="shared" si="55"/>
        <v>49450</v>
      </c>
      <c r="P347" s="151">
        <f t="shared" si="56"/>
        <v>36059</v>
      </c>
      <c r="Q347" s="361">
        <f t="shared" si="57"/>
        <v>72.920121334681497</v>
      </c>
    </row>
    <row r="348" spans="2:17" x14ac:dyDescent="0.2">
      <c r="B348" s="141">
        <f t="shared" si="58"/>
        <v>56</v>
      </c>
      <c r="C348" s="152"/>
      <c r="D348" s="152"/>
      <c r="E348" s="152"/>
      <c r="F348" s="153"/>
      <c r="G348" s="154">
        <v>633</v>
      </c>
      <c r="H348" s="152" t="s">
        <v>125</v>
      </c>
      <c r="I348" s="155">
        <f>9000+5000</f>
        <v>14000</v>
      </c>
      <c r="J348" s="155">
        <v>7686</v>
      </c>
      <c r="K348" s="361">
        <f t="shared" si="60"/>
        <v>54.900000000000006</v>
      </c>
      <c r="L348" s="155"/>
      <c r="M348" s="155"/>
      <c r="N348" s="361"/>
      <c r="O348" s="156">
        <f t="shared" si="55"/>
        <v>14000</v>
      </c>
      <c r="P348" s="156">
        <f t="shared" si="56"/>
        <v>7686</v>
      </c>
      <c r="Q348" s="361">
        <f t="shared" si="57"/>
        <v>54.900000000000006</v>
      </c>
    </row>
    <row r="349" spans="2:17" x14ac:dyDescent="0.2">
      <c r="B349" s="141">
        <f t="shared" si="58"/>
        <v>57</v>
      </c>
      <c r="C349" s="152"/>
      <c r="D349" s="152"/>
      <c r="E349" s="152"/>
      <c r="F349" s="153"/>
      <c r="G349" s="154">
        <v>635</v>
      </c>
      <c r="H349" s="152" t="s">
        <v>133</v>
      </c>
      <c r="I349" s="155">
        <v>11700</v>
      </c>
      <c r="J349" s="155">
        <v>7769</v>
      </c>
      <c r="K349" s="361">
        <f t="shared" si="60"/>
        <v>66.401709401709397</v>
      </c>
      <c r="L349" s="155"/>
      <c r="M349" s="155"/>
      <c r="N349" s="361"/>
      <c r="O349" s="156">
        <f t="shared" si="55"/>
        <v>11700</v>
      </c>
      <c r="P349" s="156">
        <f t="shared" si="56"/>
        <v>7769</v>
      </c>
      <c r="Q349" s="361">
        <f t="shared" si="57"/>
        <v>66.401709401709397</v>
      </c>
    </row>
    <row r="350" spans="2:17" x14ac:dyDescent="0.2">
      <c r="B350" s="141">
        <f t="shared" si="58"/>
        <v>58</v>
      </c>
      <c r="C350" s="152"/>
      <c r="D350" s="152"/>
      <c r="E350" s="152"/>
      <c r="F350" s="153"/>
      <c r="G350" s="154">
        <v>637</v>
      </c>
      <c r="H350" s="152" t="s">
        <v>122</v>
      </c>
      <c r="I350" s="155">
        <f>12000+9500+1800+450</f>
        <v>23750</v>
      </c>
      <c r="J350" s="155">
        <v>20604</v>
      </c>
      <c r="K350" s="361">
        <f t="shared" si="60"/>
        <v>86.753684210526316</v>
      </c>
      <c r="L350" s="155"/>
      <c r="M350" s="155"/>
      <c r="N350" s="361"/>
      <c r="O350" s="156">
        <f t="shared" si="55"/>
        <v>23750</v>
      </c>
      <c r="P350" s="156">
        <f t="shared" si="56"/>
        <v>20604</v>
      </c>
      <c r="Q350" s="361">
        <f t="shared" si="57"/>
        <v>86.753684210526316</v>
      </c>
    </row>
    <row r="351" spans="2:17" ht="15" x14ac:dyDescent="0.2">
      <c r="B351" s="141">
        <f t="shared" si="58"/>
        <v>59</v>
      </c>
      <c r="C351" s="144">
        <v>5</v>
      </c>
      <c r="D351" s="528" t="s">
        <v>147</v>
      </c>
      <c r="E351" s="529"/>
      <c r="F351" s="529"/>
      <c r="G351" s="529"/>
      <c r="H351" s="529"/>
      <c r="I351" s="145">
        <f>I353+I357+I352</f>
        <v>48054</v>
      </c>
      <c r="J351" s="145">
        <f>J353+J357+J352</f>
        <v>33355</v>
      </c>
      <c r="K351" s="361">
        <f t="shared" si="60"/>
        <v>69.411495401007201</v>
      </c>
      <c r="L351" s="145">
        <f>L360</f>
        <v>11170</v>
      </c>
      <c r="M351" s="145">
        <f>M360</f>
        <v>11164</v>
      </c>
      <c r="N351" s="361">
        <f>M351/L351*100</f>
        <v>99.946284691136981</v>
      </c>
      <c r="O351" s="146">
        <f t="shared" si="55"/>
        <v>59224</v>
      </c>
      <c r="P351" s="146">
        <f t="shared" si="56"/>
        <v>44519</v>
      </c>
      <c r="Q351" s="361">
        <f t="shared" si="57"/>
        <v>75.170538970687559</v>
      </c>
    </row>
    <row r="352" spans="2:17" x14ac:dyDescent="0.2">
      <c r="B352" s="141">
        <f t="shared" si="58"/>
        <v>60</v>
      </c>
      <c r="C352" s="147"/>
      <c r="D352" s="147"/>
      <c r="E352" s="147"/>
      <c r="F352" s="148" t="s">
        <v>146</v>
      </c>
      <c r="G352" s="149">
        <v>620</v>
      </c>
      <c r="H352" s="147" t="s">
        <v>124</v>
      </c>
      <c r="I352" s="150">
        <v>500</v>
      </c>
      <c r="J352" s="150">
        <v>0</v>
      </c>
      <c r="K352" s="361">
        <f t="shared" si="60"/>
        <v>0</v>
      </c>
      <c r="L352" s="150"/>
      <c r="M352" s="150"/>
      <c r="N352" s="361"/>
      <c r="O352" s="151">
        <f t="shared" si="55"/>
        <v>500</v>
      </c>
      <c r="P352" s="151">
        <f t="shared" si="56"/>
        <v>0</v>
      </c>
      <c r="Q352" s="361">
        <f t="shared" si="57"/>
        <v>0</v>
      </c>
    </row>
    <row r="353" spans="2:17" x14ac:dyDescent="0.2">
      <c r="B353" s="141">
        <f t="shared" si="58"/>
        <v>61</v>
      </c>
      <c r="C353" s="147"/>
      <c r="D353" s="147"/>
      <c r="E353" s="147"/>
      <c r="F353" s="148" t="s">
        <v>146</v>
      </c>
      <c r="G353" s="149">
        <v>630</v>
      </c>
      <c r="H353" s="147" t="s">
        <v>121</v>
      </c>
      <c r="I353" s="150">
        <f>I356+I355+I354</f>
        <v>38554</v>
      </c>
      <c r="J353" s="150">
        <f>J356+J355+J354</f>
        <v>24355</v>
      </c>
      <c r="K353" s="361">
        <f t="shared" si="60"/>
        <v>63.171136587643304</v>
      </c>
      <c r="L353" s="150"/>
      <c r="M353" s="150"/>
      <c r="N353" s="361"/>
      <c r="O353" s="151">
        <f t="shared" si="55"/>
        <v>38554</v>
      </c>
      <c r="P353" s="151">
        <f t="shared" si="56"/>
        <v>24355</v>
      </c>
      <c r="Q353" s="361">
        <f t="shared" si="57"/>
        <v>63.171136587643304</v>
      </c>
    </row>
    <row r="354" spans="2:17" x14ac:dyDescent="0.2">
      <c r="B354" s="141">
        <f t="shared" si="58"/>
        <v>62</v>
      </c>
      <c r="C354" s="152"/>
      <c r="D354" s="152"/>
      <c r="E354" s="152"/>
      <c r="F354" s="153"/>
      <c r="G354" s="154">
        <v>633</v>
      </c>
      <c r="H354" s="152" t="s">
        <v>125</v>
      </c>
      <c r="I354" s="155">
        <f>9300+3234-146</f>
        <v>12388</v>
      </c>
      <c r="J354" s="155">
        <v>6368</v>
      </c>
      <c r="K354" s="361">
        <f t="shared" si="60"/>
        <v>51.404585082337753</v>
      </c>
      <c r="L354" s="155"/>
      <c r="M354" s="155"/>
      <c r="N354" s="361"/>
      <c r="O354" s="156">
        <f t="shared" si="55"/>
        <v>12388</v>
      </c>
      <c r="P354" s="156">
        <f t="shared" si="56"/>
        <v>6368</v>
      </c>
      <c r="Q354" s="361">
        <f t="shared" si="57"/>
        <v>51.404585082337753</v>
      </c>
    </row>
    <row r="355" spans="2:17" x14ac:dyDescent="0.2">
      <c r="B355" s="141">
        <f t="shared" si="58"/>
        <v>63</v>
      </c>
      <c r="C355" s="152"/>
      <c r="D355" s="152"/>
      <c r="E355" s="152"/>
      <c r="F355" s="153"/>
      <c r="G355" s="154">
        <v>634</v>
      </c>
      <c r="H355" s="152" t="s">
        <v>132</v>
      </c>
      <c r="I355" s="155">
        <v>4000</v>
      </c>
      <c r="J355" s="155">
        <v>2772</v>
      </c>
      <c r="K355" s="361">
        <f t="shared" si="60"/>
        <v>69.3</v>
      </c>
      <c r="L355" s="155"/>
      <c r="M355" s="155"/>
      <c r="N355" s="361"/>
      <c r="O355" s="156">
        <f t="shared" si="55"/>
        <v>4000</v>
      </c>
      <c r="P355" s="156">
        <f t="shared" si="56"/>
        <v>2772</v>
      </c>
      <c r="Q355" s="361">
        <f t="shared" si="57"/>
        <v>69.3</v>
      </c>
    </row>
    <row r="356" spans="2:17" x14ac:dyDescent="0.2">
      <c r="B356" s="141">
        <f t="shared" si="58"/>
        <v>64</v>
      </c>
      <c r="C356" s="152"/>
      <c r="D356" s="152"/>
      <c r="E356" s="152"/>
      <c r="F356" s="153"/>
      <c r="G356" s="154">
        <v>637</v>
      </c>
      <c r="H356" s="152" t="s">
        <v>122</v>
      </c>
      <c r="I356" s="155">
        <f>21000+1166</f>
        <v>22166</v>
      </c>
      <c r="J356" s="155">
        <v>15215</v>
      </c>
      <c r="K356" s="361">
        <f t="shared" si="60"/>
        <v>68.641162140214746</v>
      </c>
      <c r="L356" s="155"/>
      <c r="M356" s="155"/>
      <c r="N356" s="361"/>
      <c r="O356" s="156">
        <f t="shared" si="55"/>
        <v>22166</v>
      </c>
      <c r="P356" s="156">
        <f t="shared" si="56"/>
        <v>15215</v>
      </c>
      <c r="Q356" s="361">
        <f t="shared" si="57"/>
        <v>68.641162140214746</v>
      </c>
    </row>
    <row r="357" spans="2:17" x14ac:dyDescent="0.2">
      <c r="B357" s="141">
        <f t="shared" si="58"/>
        <v>65</v>
      </c>
      <c r="C357" s="147"/>
      <c r="D357" s="147"/>
      <c r="E357" s="147"/>
      <c r="F357" s="148" t="s">
        <v>146</v>
      </c>
      <c r="G357" s="149">
        <v>640</v>
      </c>
      <c r="H357" s="147" t="s">
        <v>129</v>
      </c>
      <c r="I357" s="150">
        <f>I358+I359</f>
        <v>9000</v>
      </c>
      <c r="J357" s="150">
        <f>J358+J359</f>
        <v>9000</v>
      </c>
      <c r="K357" s="361">
        <f t="shared" si="60"/>
        <v>100</v>
      </c>
      <c r="L357" s="150"/>
      <c r="M357" s="150"/>
      <c r="N357" s="361"/>
      <c r="O357" s="151">
        <f t="shared" ref="O357:O362" si="61">I357+L357</f>
        <v>9000</v>
      </c>
      <c r="P357" s="151">
        <f t="shared" ref="P357:P362" si="62">J357+M357</f>
        <v>9000</v>
      </c>
      <c r="Q357" s="361">
        <f t="shared" ref="Q357:Q362" si="63">P357/O357*100</f>
        <v>100</v>
      </c>
    </row>
    <row r="358" spans="2:17" x14ac:dyDescent="0.2">
      <c r="B358" s="141">
        <f t="shared" si="58"/>
        <v>66</v>
      </c>
      <c r="C358" s="175"/>
      <c r="D358" s="175"/>
      <c r="E358" s="161"/>
      <c r="F358" s="163"/>
      <c r="G358" s="163"/>
      <c r="H358" s="161" t="s">
        <v>9</v>
      </c>
      <c r="I358" s="164">
        <v>3000</v>
      </c>
      <c r="J358" s="164">
        <v>3000</v>
      </c>
      <c r="K358" s="361">
        <f t="shared" si="60"/>
        <v>100</v>
      </c>
      <c r="L358" s="164"/>
      <c r="M358" s="164"/>
      <c r="N358" s="361"/>
      <c r="O358" s="165">
        <f t="shared" si="61"/>
        <v>3000</v>
      </c>
      <c r="P358" s="165">
        <f t="shared" si="62"/>
        <v>3000</v>
      </c>
      <c r="Q358" s="361">
        <f t="shared" si="63"/>
        <v>100</v>
      </c>
    </row>
    <row r="359" spans="2:17" x14ac:dyDescent="0.2">
      <c r="B359" s="141">
        <f t="shared" si="58"/>
        <v>67</v>
      </c>
      <c r="C359" s="175"/>
      <c r="D359" s="175"/>
      <c r="E359" s="161"/>
      <c r="F359" s="163"/>
      <c r="G359" s="163"/>
      <c r="H359" s="161" t="s">
        <v>10</v>
      </c>
      <c r="I359" s="164">
        <v>6000</v>
      </c>
      <c r="J359" s="164">
        <v>6000</v>
      </c>
      <c r="K359" s="361">
        <f t="shared" si="60"/>
        <v>100</v>
      </c>
      <c r="L359" s="164"/>
      <c r="M359" s="164"/>
      <c r="N359" s="361"/>
      <c r="O359" s="165">
        <f t="shared" si="61"/>
        <v>6000</v>
      </c>
      <c r="P359" s="165">
        <f t="shared" si="62"/>
        <v>6000</v>
      </c>
      <c r="Q359" s="361">
        <f t="shared" si="63"/>
        <v>100</v>
      </c>
    </row>
    <row r="360" spans="2:17" x14ac:dyDescent="0.2">
      <c r="B360" s="141">
        <f t="shared" si="58"/>
        <v>68</v>
      </c>
      <c r="C360" s="147"/>
      <c r="D360" s="147"/>
      <c r="E360" s="147"/>
      <c r="F360" s="148" t="s">
        <v>146</v>
      </c>
      <c r="G360" s="149">
        <v>710</v>
      </c>
      <c r="H360" s="147" t="s">
        <v>175</v>
      </c>
      <c r="I360" s="150"/>
      <c r="J360" s="150"/>
      <c r="K360" s="361"/>
      <c r="L360" s="150">
        <f>L361</f>
        <v>11170</v>
      </c>
      <c r="M360" s="150">
        <f>M361</f>
        <v>11164</v>
      </c>
      <c r="N360" s="361">
        <f>M360/L360*100</f>
        <v>99.946284691136981</v>
      </c>
      <c r="O360" s="151">
        <f t="shared" si="61"/>
        <v>11170</v>
      </c>
      <c r="P360" s="151">
        <f t="shared" si="62"/>
        <v>11164</v>
      </c>
      <c r="Q360" s="361">
        <f t="shared" si="63"/>
        <v>99.946284691136981</v>
      </c>
    </row>
    <row r="361" spans="2:17" x14ac:dyDescent="0.2">
      <c r="B361" s="141">
        <f t="shared" si="58"/>
        <v>69</v>
      </c>
      <c r="C361" s="152"/>
      <c r="D361" s="152"/>
      <c r="E361" s="152"/>
      <c r="F361" s="153"/>
      <c r="G361" s="154">
        <v>717</v>
      </c>
      <c r="H361" s="152" t="s">
        <v>182</v>
      </c>
      <c r="I361" s="155"/>
      <c r="J361" s="155"/>
      <c r="K361" s="361"/>
      <c r="L361" s="155">
        <f>L362</f>
        <v>11170</v>
      </c>
      <c r="M361" s="155">
        <f>M362</f>
        <v>11164</v>
      </c>
      <c r="N361" s="361">
        <f>M361/L361*100</f>
        <v>99.946284691136981</v>
      </c>
      <c r="O361" s="156">
        <f t="shared" si="61"/>
        <v>11170</v>
      </c>
      <c r="P361" s="156">
        <f t="shared" si="62"/>
        <v>11164</v>
      </c>
      <c r="Q361" s="361">
        <f t="shared" si="63"/>
        <v>99.946284691136981</v>
      </c>
    </row>
    <row r="362" spans="2:17" x14ac:dyDescent="0.2">
      <c r="B362" s="141">
        <f t="shared" si="58"/>
        <v>70</v>
      </c>
      <c r="C362" s="161"/>
      <c r="D362" s="161"/>
      <c r="E362" s="161"/>
      <c r="F362" s="163"/>
      <c r="G362" s="163"/>
      <c r="H362" s="161" t="s">
        <v>664</v>
      </c>
      <c r="I362" s="164"/>
      <c r="J362" s="164"/>
      <c r="K362" s="361"/>
      <c r="L362" s="164">
        <v>11170</v>
      </c>
      <c r="M362" s="164">
        <v>11164</v>
      </c>
      <c r="N362" s="361">
        <f>M362/L362*100</f>
        <v>99.946284691136981</v>
      </c>
      <c r="O362" s="165">
        <f t="shared" si="61"/>
        <v>11170</v>
      </c>
      <c r="P362" s="165">
        <f t="shared" si="62"/>
        <v>11164</v>
      </c>
      <c r="Q362" s="361">
        <f t="shared" si="63"/>
        <v>99.946284691136981</v>
      </c>
    </row>
    <row r="363" spans="2:17" x14ac:dyDescent="0.2">
      <c r="B363" s="1"/>
      <c r="F363" s="1"/>
      <c r="G363" s="1"/>
      <c r="I363" s="1"/>
      <c r="J363" s="1"/>
      <c r="K363" s="1"/>
      <c r="L363" s="1"/>
      <c r="M363" s="1"/>
      <c r="N363" s="1"/>
      <c r="O363" s="1"/>
    </row>
    <row r="364" spans="2:17" x14ac:dyDescent="0.2">
      <c r="B364" s="1"/>
      <c r="F364" s="1"/>
      <c r="G364" s="1"/>
      <c r="I364" s="1"/>
      <c r="J364" s="1"/>
      <c r="K364" s="1"/>
      <c r="L364" s="1"/>
      <c r="M364" s="1"/>
      <c r="N364" s="1"/>
      <c r="O364" s="1"/>
    </row>
    <row r="365" spans="2:17" ht="27.75" x14ac:dyDescent="0.4">
      <c r="B365" s="499" t="s">
        <v>19</v>
      </c>
      <c r="C365" s="500"/>
      <c r="D365" s="500"/>
      <c r="E365" s="500"/>
      <c r="F365" s="500"/>
      <c r="G365" s="500"/>
      <c r="H365" s="500"/>
      <c r="I365" s="500"/>
      <c r="J365" s="500"/>
      <c r="K365" s="500"/>
      <c r="L365" s="500"/>
      <c r="M365" s="500"/>
      <c r="N365" s="500"/>
      <c r="O365" s="500"/>
    </row>
    <row r="366" spans="2:17" ht="15" customHeight="1" x14ac:dyDescent="0.35">
      <c r="B366" s="509" t="s">
        <v>418</v>
      </c>
      <c r="C366" s="510"/>
      <c r="D366" s="510"/>
      <c r="E366" s="510"/>
      <c r="F366" s="510"/>
      <c r="G366" s="510"/>
      <c r="H366" s="510"/>
      <c r="I366" s="510"/>
      <c r="J366" s="510"/>
      <c r="K366" s="511"/>
      <c r="L366" s="510"/>
      <c r="M366" s="510"/>
      <c r="N366" s="511"/>
      <c r="O366" s="501" t="s">
        <v>741</v>
      </c>
      <c r="P366" s="512" t="s">
        <v>739</v>
      </c>
      <c r="Q366" s="514" t="s">
        <v>738</v>
      </c>
    </row>
    <row r="367" spans="2:17" ht="12.75" customHeight="1" x14ac:dyDescent="0.2">
      <c r="B367" s="503"/>
      <c r="C367" s="504" t="s">
        <v>114</v>
      </c>
      <c r="D367" s="504" t="s">
        <v>115</v>
      </c>
      <c r="E367" s="504"/>
      <c r="F367" s="504" t="s">
        <v>116</v>
      </c>
      <c r="G367" s="506" t="s">
        <v>117</v>
      </c>
      <c r="H367" s="507" t="s">
        <v>118</v>
      </c>
      <c r="I367" s="508" t="s">
        <v>742</v>
      </c>
      <c r="J367" s="508" t="s">
        <v>744</v>
      </c>
      <c r="K367" s="517" t="s">
        <v>738</v>
      </c>
      <c r="L367" s="505" t="s">
        <v>743</v>
      </c>
      <c r="M367" s="508" t="s">
        <v>745</v>
      </c>
      <c r="N367" s="520" t="s">
        <v>738</v>
      </c>
      <c r="O367" s="502"/>
      <c r="P367" s="513"/>
      <c r="Q367" s="515"/>
    </row>
    <row r="368" spans="2:17" ht="12.75" customHeight="1" x14ac:dyDescent="0.2">
      <c r="B368" s="503"/>
      <c r="C368" s="504"/>
      <c r="D368" s="504"/>
      <c r="E368" s="504"/>
      <c r="F368" s="504"/>
      <c r="G368" s="506"/>
      <c r="H368" s="507"/>
      <c r="I368" s="508"/>
      <c r="J368" s="508"/>
      <c r="K368" s="518"/>
      <c r="L368" s="505"/>
      <c r="M368" s="508"/>
      <c r="N368" s="521"/>
      <c r="O368" s="502"/>
      <c r="P368" s="513"/>
      <c r="Q368" s="515"/>
    </row>
    <row r="369" spans="2:17" ht="12.75" customHeight="1" x14ac:dyDescent="0.2">
      <c r="B369" s="503"/>
      <c r="C369" s="504"/>
      <c r="D369" s="504"/>
      <c r="E369" s="504"/>
      <c r="F369" s="504"/>
      <c r="G369" s="506"/>
      <c r="H369" s="507"/>
      <c r="I369" s="508"/>
      <c r="J369" s="508"/>
      <c r="K369" s="518"/>
      <c r="L369" s="505"/>
      <c r="M369" s="508"/>
      <c r="N369" s="521"/>
      <c r="O369" s="502"/>
      <c r="P369" s="513"/>
      <c r="Q369" s="515"/>
    </row>
    <row r="370" spans="2:17" ht="12.75" customHeight="1" x14ac:dyDescent="0.2">
      <c r="B370" s="503"/>
      <c r="C370" s="504"/>
      <c r="D370" s="504"/>
      <c r="E370" s="504"/>
      <c r="F370" s="504"/>
      <c r="G370" s="506"/>
      <c r="H370" s="507"/>
      <c r="I370" s="508"/>
      <c r="J370" s="508"/>
      <c r="K370" s="519"/>
      <c r="L370" s="505"/>
      <c r="M370" s="508"/>
      <c r="N370" s="521"/>
      <c r="O370" s="502"/>
      <c r="P370" s="513"/>
      <c r="Q370" s="516"/>
    </row>
    <row r="371" spans="2:17" ht="15.75" x14ac:dyDescent="0.2">
      <c r="B371" s="18">
        <v>1</v>
      </c>
      <c r="C371" s="493" t="s">
        <v>19</v>
      </c>
      <c r="D371" s="494"/>
      <c r="E371" s="494"/>
      <c r="F371" s="494"/>
      <c r="G371" s="494"/>
      <c r="H371" s="494"/>
      <c r="I371" s="80">
        <f>I372+I380+I413</f>
        <v>7235830</v>
      </c>
      <c r="J371" s="80">
        <f>J372+J380+J413</f>
        <v>6841187</v>
      </c>
      <c r="K371" s="361">
        <f t="shared" ref="K371:K383" si="64">J371/I371*100</f>
        <v>94.545988504428664</v>
      </c>
      <c r="L371" s="80">
        <f>L413+L380+L372</f>
        <v>3474670</v>
      </c>
      <c r="M371" s="80">
        <f>M413+M380+M372</f>
        <v>1757890</v>
      </c>
      <c r="N371" s="361">
        <f>M371/L371*100</f>
        <v>50.591566968949564</v>
      </c>
      <c r="O371" s="81">
        <f t="shared" ref="O371:O402" si="65">I371+L371</f>
        <v>10710500</v>
      </c>
      <c r="P371" s="81">
        <f t="shared" ref="P371:P402" si="66">J371+M371</f>
        <v>8599077</v>
      </c>
      <c r="Q371" s="361">
        <f t="shared" ref="Q371:Q402" si="67">P371/O371*100</f>
        <v>80.286419868353491</v>
      </c>
    </row>
    <row r="372" spans="2:17" ht="15" x14ac:dyDescent="0.2">
      <c r="B372" s="18">
        <f t="shared" ref="B372:B403" si="68">B371+1</f>
        <v>2</v>
      </c>
      <c r="C372" s="82">
        <v>1</v>
      </c>
      <c r="D372" s="495" t="s">
        <v>365</v>
      </c>
      <c r="E372" s="496"/>
      <c r="F372" s="496"/>
      <c r="G372" s="496"/>
      <c r="H372" s="496"/>
      <c r="I372" s="83">
        <f>I376+I373</f>
        <v>4273181</v>
      </c>
      <c r="J372" s="83">
        <f>J376+J373</f>
        <v>4273179</v>
      </c>
      <c r="K372" s="361">
        <f t="shared" si="64"/>
        <v>99.999953196459501</v>
      </c>
      <c r="L372" s="83">
        <v>0</v>
      </c>
      <c r="M372" s="83">
        <v>0</v>
      </c>
      <c r="N372" s="361"/>
      <c r="O372" s="99">
        <f t="shared" si="65"/>
        <v>4273181</v>
      </c>
      <c r="P372" s="99">
        <f t="shared" si="66"/>
        <v>4273179</v>
      </c>
      <c r="Q372" s="361">
        <f t="shared" si="67"/>
        <v>99.999953196459501</v>
      </c>
    </row>
    <row r="373" spans="2:17" x14ac:dyDescent="0.2">
      <c r="B373" s="18">
        <f t="shared" si="68"/>
        <v>3</v>
      </c>
      <c r="C373" s="3"/>
      <c r="D373" s="3"/>
      <c r="E373" s="3"/>
      <c r="F373" s="90" t="s">
        <v>219</v>
      </c>
      <c r="G373" s="2">
        <v>630</v>
      </c>
      <c r="H373" s="3" t="s">
        <v>121</v>
      </c>
      <c r="I373" s="4">
        <f>SUM(I374:I375)</f>
        <v>16304</v>
      </c>
      <c r="J373" s="4">
        <f>SUM(J374:J375)</f>
        <v>16304</v>
      </c>
      <c r="K373" s="361">
        <f t="shared" si="64"/>
        <v>100</v>
      </c>
      <c r="L373" s="4"/>
      <c r="M373" s="4"/>
      <c r="N373" s="361"/>
      <c r="O373" s="92">
        <f t="shared" si="65"/>
        <v>16304</v>
      </c>
      <c r="P373" s="92">
        <f t="shared" si="66"/>
        <v>16304</v>
      </c>
      <c r="Q373" s="361">
        <f t="shared" si="67"/>
        <v>100</v>
      </c>
    </row>
    <row r="374" spans="2:17" x14ac:dyDescent="0.2">
      <c r="B374" s="18">
        <f t="shared" si="68"/>
        <v>4</v>
      </c>
      <c r="C374" s="6"/>
      <c r="D374" s="6"/>
      <c r="E374" s="6"/>
      <c r="F374" s="93"/>
      <c r="G374" s="5">
        <v>637</v>
      </c>
      <c r="H374" s="6" t="s">
        <v>122</v>
      </c>
      <c r="I374" s="7">
        <v>3024</v>
      </c>
      <c r="J374" s="7">
        <v>3024</v>
      </c>
      <c r="K374" s="361">
        <f t="shared" si="64"/>
        <v>100</v>
      </c>
      <c r="L374" s="7"/>
      <c r="M374" s="7"/>
      <c r="N374" s="361"/>
      <c r="O374" s="95">
        <f t="shared" si="65"/>
        <v>3024</v>
      </c>
      <c r="P374" s="95">
        <f t="shared" si="66"/>
        <v>3024</v>
      </c>
      <c r="Q374" s="361">
        <f t="shared" si="67"/>
        <v>100</v>
      </c>
    </row>
    <row r="375" spans="2:17" x14ac:dyDescent="0.2">
      <c r="B375" s="18">
        <f t="shared" si="68"/>
        <v>5</v>
      </c>
      <c r="C375" s="6"/>
      <c r="D375" s="6"/>
      <c r="E375" s="6"/>
      <c r="F375" s="93"/>
      <c r="G375" s="5">
        <v>637</v>
      </c>
      <c r="H375" s="6" t="s">
        <v>717</v>
      </c>
      <c r="I375" s="7">
        <v>13280</v>
      </c>
      <c r="J375" s="7">
        <v>13280</v>
      </c>
      <c r="K375" s="361">
        <f t="shared" si="64"/>
        <v>100</v>
      </c>
      <c r="L375" s="7"/>
      <c r="M375" s="7"/>
      <c r="N375" s="361"/>
      <c r="O375" s="95">
        <f t="shared" si="65"/>
        <v>13280</v>
      </c>
      <c r="P375" s="95">
        <f t="shared" si="66"/>
        <v>13280</v>
      </c>
      <c r="Q375" s="361">
        <f t="shared" si="67"/>
        <v>100</v>
      </c>
    </row>
    <row r="376" spans="2:17" x14ac:dyDescent="0.2">
      <c r="B376" s="18">
        <f t="shared" si="68"/>
        <v>6</v>
      </c>
      <c r="C376" s="3"/>
      <c r="D376" s="3"/>
      <c r="E376" s="3"/>
      <c r="F376" s="90" t="s">
        <v>219</v>
      </c>
      <c r="G376" s="2">
        <v>640</v>
      </c>
      <c r="H376" s="3" t="s">
        <v>129</v>
      </c>
      <c r="I376" s="4">
        <f>SUM(I377:I379)</f>
        <v>4256877</v>
      </c>
      <c r="J376" s="4">
        <f>SUM(J377:J379)</f>
        <v>4256875</v>
      </c>
      <c r="K376" s="361">
        <f t="shared" si="64"/>
        <v>99.99995301720017</v>
      </c>
      <c r="L376" s="4"/>
      <c r="M376" s="4"/>
      <c r="N376" s="361"/>
      <c r="O376" s="92">
        <f t="shared" si="65"/>
        <v>4256877</v>
      </c>
      <c r="P376" s="92">
        <f t="shared" si="66"/>
        <v>4256875</v>
      </c>
      <c r="Q376" s="361">
        <f t="shared" si="67"/>
        <v>99.99995301720017</v>
      </c>
    </row>
    <row r="377" spans="2:17" x14ac:dyDescent="0.2">
      <c r="B377" s="18">
        <f t="shared" si="68"/>
        <v>7</v>
      </c>
      <c r="C377" s="9"/>
      <c r="D377" s="9"/>
      <c r="E377" s="9"/>
      <c r="F377" s="106"/>
      <c r="G377" s="106">
        <v>644</v>
      </c>
      <c r="H377" s="9" t="s">
        <v>273</v>
      </c>
      <c r="I377" s="10">
        <v>4106677</v>
      </c>
      <c r="J377" s="10">
        <v>4106677</v>
      </c>
      <c r="K377" s="361">
        <f t="shared" si="64"/>
        <v>100</v>
      </c>
      <c r="L377" s="10"/>
      <c r="M377" s="10"/>
      <c r="N377" s="361"/>
      <c r="O377" s="108">
        <f t="shared" si="65"/>
        <v>4106677</v>
      </c>
      <c r="P377" s="108">
        <f t="shared" si="66"/>
        <v>4106677</v>
      </c>
      <c r="Q377" s="361">
        <f t="shared" si="67"/>
        <v>100</v>
      </c>
    </row>
    <row r="378" spans="2:17" x14ac:dyDescent="0.2">
      <c r="B378" s="18">
        <f t="shared" si="68"/>
        <v>8</v>
      </c>
      <c r="C378" s="9"/>
      <c r="D378" s="9"/>
      <c r="E378" s="9"/>
      <c r="F378" s="106"/>
      <c r="G378" s="106">
        <v>644</v>
      </c>
      <c r="H378" s="9" t="s">
        <v>419</v>
      </c>
      <c r="I378" s="10">
        <f>39600-2950</f>
        <v>36650</v>
      </c>
      <c r="J378" s="10">
        <v>36648</v>
      </c>
      <c r="K378" s="361">
        <f t="shared" si="64"/>
        <v>99.994542974079124</v>
      </c>
      <c r="L378" s="10"/>
      <c r="M378" s="10"/>
      <c r="N378" s="361"/>
      <c r="O378" s="108">
        <f t="shared" si="65"/>
        <v>36650</v>
      </c>
      <c r="P378" s="108">
        <f t="shared" si="66"/>
        <v>36648</v>
      </c>
      <c r="Q378" s="361">
        <f t="shared" si="67"/>
        <v>99.994542974079124</v>
      </c>
    </row>
    <row r="379" spans="2:17" x14ac:dyDescent="0.2">
      <c r="B379" s="18">
        <f t="shared" si="68"/>
        <v>9</v>
      </c>
      <c r="C379" s="9"/>
      <c r="D379" s="9"/>
      <c r="E379" s="9"/>
      <c r="F379" s="106"/>
      <c r="G379" s="106">
        <v>644</v>
      </c>
      <c r="H379" s="9" t="s">
        <v>619</v>
      </c>
      <c r="I379" s="10">
        <v>113550</v>
      </c>
      <c r="J379" s="10">
        <v>113550</v>
      </c>
      <c r="K379" s="361">
        <f t="shared" si="64"/>
        <v>100</v>
      </c>
      <c r="L379" s="10"/>
      <c r="M379" s="10"/>
      <c r="N379" s="361"/>
      <c r="O379" s="108">
        <f t="shared" si="65"/>
        <v>113550</v>
      </c>
      <c r="P379" s="108">
        <f t="shared" si="66"/>
        <v>113550</v>
      </c>
      <c r="Q379" s="361">
        <f t="shared" si="67"/>
        <v>100</v>
      </c>
    </row>
    <row r="380" spans="2:17" ht="15" x14ac:dyDescent="0.2">
      <c r="B380" s="18">
        <f t="shared" si="68"/>
        <v>10</v>
      </c>
      <c r="C380" s="82">
        <v>2</v>
      </c>
      <c r="D380" s="495" t="s">
        <v>264</v>
      </c>
      <c r="E380" s="496"/>
      <c r="F380" s="496"/>
      <c r="G380" s="496"/>
      <c r="H380" s="496"/>
      <c r="I380" s="83">
        <f>I381+I403</f>
        <v>2962649</v>
      </c>
      <c r="J380" s="83">
        <f>J381+J403</f>
        <v>2568008</v>
      </c>
      <c r="K380" s="361">
        <f t="shared" si="64"/>
        <v>86.679454771726256</v>
      </c>
      <c r="L380" s="83">
        <f>L381+L403</f>
        <v>41300</v>
      </c>
      <c r="M380" s="83">
        <f>M381+M403</f>
        <v>13781</v>
      </c>
      <c r="N380" s="361">
        <f>M380/L380*100</f>
        <v>33.368038740920099</v>
      </c>
      <c r="O380" s="99">
        <f t="shared" si="65"/>
        <v>3003949</v>
      </c>
      <c r="P380" s="99">
        <f t="shared" si="66"/>
        <v>2581789</v>
      </c>
      <c r="Q380" s="361">
        <f t="shared" si="67"/>
        <v>85.946499091695628</v>
      </c>
    </row>
    <row r="381" spans="2:17" ht="15" x14ac:dyDescent="0.25">
      <c r="B381" s="18">
        <f t="shared" si="68"/>
        <v>11</v>
      </c>
      <c r="C381" s="96"/>
      <c r="D381" s="96">
        <v>1</v>
      </c>
      <c r="E381" s="497" t="s">
        <v>388</v>
      </c>
      <c r="F381" s="498"/>
      <c r="G381" s="498"/>
      <c r="H381" s="498"/>
      <c r="I381" s="97">
        <f>I382+I389</f>
        <v>2505580</v>
      </c>
      <c r="J381" s="97">
        <f>J382+J389</f>
        <v>2142965</v>
      </c>
      <c r="K381" s="361">
        <f t="shared" si="64"/>
        <v>85.527702168759333</v>
      </c>
      <c r="L381" s="97">
        <f>L384+L389</f>
        <v>29500</v>
      </c>
      <c r="M381" s="97">
        <f>M384+M389</f>
        <v>11581</v>
      </c>
      <c r="N381" s="361">
        <f>M381/L381*100</f>
        <v>39.257627118644066</v>
      </c>
      <c r="O381" s="98">
        <f t="shared" si="65"/>
        <v>2535080</v>
      </c>
      <c r="P381" s="98">
        <f t="shared" si="66"/>
        <v>2154546</v>
      </c>
      <c r="Q381" s="361">
        <f t="shared" si="67"/>
        <v>84.989270555564318</v>
      </c>
    </row>
    <row r="382" spans="2:17" x14ac:dyDescent="0.2">
      <c r="B382" s="18">
        <f t="shared" si="68"/>
        <v>12</v>
      </c>
      <c r="C382" s="3"/>
      <c r="D382" s="3"/>
      <c r="E382" s="3"/>
      <c r="F382" s="90" t="s">
        <v>219</v>
      </c>
      <c r="G382" s="2">
        <v>630</v>
      </c>
      <c r="H382" s="3" t="s">
        <v>121</v>
      </c>
      <c r="I382" s="4">
        <f>SUM(I383:I383)</f>
        <v>26600</v>
      </c>
      <c r="J382" s="4">
        <f>SUM(J383:J383)</f>
        <v>21594</v>
      </c>
      <c r="K382" s="361">
        <f t="shared" si="64"/>
        <v>81.180451127819552</v>
      </c>
      <c r="L382" s="4"/>
      <c r="M382" s="4"/>
      <c r="N382" s="361"/>
      <c r="O382" s="92">
        <f t="shared" si="65"/>
        <v>26600</v>
      </c>
      <c r="P382" s="92">
        <f t="shared" si="66"/>
        <v>21594</v>
      </c>
      <c r="Q382" s="361">
        <f t="shared" si="67"/>
        <v>81.180451127819552</v>
      </c>
    </row>
    <row r="383" spans="2:17" x14ac:dyDescent="0.2">
      <c r="B383" s="18">
        <f t="shared" si="68"/>
        <v>13</v>
      </c>
      <c r="C383" s="6"/>
      <c r="D383" s="6"/>
      <c r="E383" s="6"/>
      <c r="F383" s="93"/>
      <c r="G383" s="5">
        <v>637</v>
      </c>
      <c r="H383" s="6" t="s">
        <v>122</v>
      </c>
      <c r="I383" s="7">
        <f>30400-3800</f>
        <v>26600</v>
      </c>
      <c r="J383" s="7">
        <v>21594</v>
      </c>
      <c r="K383" s="361">
        <f t="shared" si="64"/>
        <v>81.180451127819552</v>
      </c>
      <c r="L383" s="7"/>
      <c r="M383" s="7"/>
      <c r="N383" s="361"/>
      <c r="O383" s="95">
        <f t="shared" si="65"/>
        <v>26600</v>
      </c>
      <c r="P383" s="95">
        <f t="shared" si="66"/>
        <v>21594</v>
      </c>
      <c r="Q383" s="361">
        <f t="shared" si="67"/>
        <v>81.180451127819552</v>
      </c>
    </row>
    <row r="384" spans="2:17" x14ac:dyDescent="0.2">
      <c r="B384" s="18">
        <f t="shared" si="68"/>
        <v>14</v>
      </c>
      <c r="C384" s="3"/>
      <c r="D384" s="3"/>
      <c r="E384" s="3"/>
      <c r="F384" s="90" t="s">
        <v>219</v>
      </c>
      <c r="G384" s="2">
        <v>710</v>
      </c>
      <c r="H384" s="3" t="s">
        <v>175</v>
      </c>
      <c r="I384" s="4"/>
      <c r="J384" s="4"/>
      <c r="K384" s="361"/>
      <c r="L384" s="4">
        <f>L387+L385</f>
        <v>20000</v>
      </c>
      <c r="M384" s="4">
        <f>M387+M385</f>
        <v>2125</v>
      </c>
      <c r="N384" s="361">
        <f t="shared" ref="N384:N389" si="69">M384/L384*100</f>
        <v>10.625</v>
      </c>
      <c r="O384" s="92">
        <f t="shared" si="65"/>
        <v>20000</v>
      </c>
      <c r="P384" s="92">
        <f t="shared" si="66"/>
        <v>2125</v>
      </c>
      <c r="Q384" s="361">
        <f t="shared" si="67"/>
        <v>10.625</v>
      </c>
    </row>
    <row r="385" spans="2:17" x14ac:dyDescent="0.2">
      <c r="B385" s="18">
        <f t="shared" si="68"/>
        <v>15</v>
      </c>
      <c r="C385" s="3"/>
      <c r="D385" s="3"/>
      <c r="E385" s="3"/>
      <c r="F385" s="90"/>
      <c r="G385" s="5">
        <v>716</v>
      </c>
      <c r="H385" s="6" t="s">
        <v>215</v>
      </c>
      <c r="I385" s="7"/>
      <c r="J385" s="7"/>
      <c r="K385" s="361"/>
      <c r="L385" s="7">
        <f>L386</f>
        <v>1200</v>
      </c>
      <c r="M385" s="7">
        <f>M386</f>
        <v>980</v>
      </c>
      <c r="N385" s="361">
        <f t="shared" si="69"/>
        <v>81.666666666666671</v>
      </c>
      <c r="O385" s="95">
        <f t="shared" si="65"/>
        <v>1200</v>
      </c>
      <c r="P385" s="95">
        <f t="shared" si="66"/>
        <v>980</v>
      </c>
      <c r="Q385" s="361">
        <f t="shared" si="67"/>
        <v>81.666666666666671</v>
      </c>
    </row>
    <row r="386" spans="2:17" x14ac:dyDescent="0.2">
      <c r="B386" s="18">
        <f t="shared" si="68"/>
        <v>16</v>
      </c>
      <c r="C386" s="3"/>
      <c r="D386" s="3"/>
      <c r="E386" s="3"/>
      <c r="F386" s="90"/>
      <c r="G386" s="106"/>
      <c r="H386" s="9" t="s">
        <v>548</v>
      </c>
      <c r="I386" s="10"/>
      <c r="J386" s="10"/>
      <c r="K386" s="361"/>
      <c r="L386" s="10">
        <v>1200</v>
      </c>
      <c r="M386" s="10">
        <v>980</v>
      </c>
      <c r="N386" s="361">
        <f t="shared" si="69"/>
        <v>81.666666666666671</v>
      </c>
      <c r="O386" s="108">
        <f t="shared" si="65"/>
        <v>1200</v>
      </c>
      <c r="P386" s="108">
        <f t="shared" si="66"/>
        <v>980</v>
      </c>
      <c r="Q386" s="361">
        <f t="shared" si="67"/>
        <v>81.666666666666671</v>
      </c>
    </row>
    <row r="387" spans="2:17" x14ac:dyDescent="0.2">
      <c r="B387" s="18">
        <f t="shared" si="68"/>
        <v>17</v>
      </c>
      <c r="C387" s="6"/>
      <c r="D387" s="6"/>
      <c r="E387" s="6"/>
      <c r="F387" s="93"/>
      <c r="G387" s="5">
        <v>717</v>
      </c>
      <c r="H387" s="6" t="s">
        <v>182</v>
      </c>
      <c r="I387" s="7"/>
      <c r="J387" s="7"/>
      <c r="K387" s="361"/>
      <c r="L387" s="7">
        <f>L388</f>
        <v>18800</v>
      </c>
      <c r="M387" s="7">
        <f>M388</f>
        <v>1145</v>
      </c>
      <c r="N387" s="361">
        <f t="shared" si="69"/>
        <v>6.0904255319148932</v>
      </c>
      <c r="O387" s="95">
        <f t="shared" si="65"/>
        <v>18800</v>
      </c>
      <c r="P387" s="95">
        <f t="shared" si="66"/>
        <v>1145</v>
      </c>
      <c r="Q387" s="361">
        <f t="shared" si="67"/>
        <v>6.0904255319148932</v>
      </c>
    </row>
    <row r="388" spans="2:17" x14ac:dyDescent="0.2">
      <c r="B388" s="18">
        <f t="shared" si="68"/>
        <v>18</v>
      </c>
      <c r="C388" s="67"/>
      <c r="D388" s="67"/>
      <c r="E388" s="9"/>
      <c r="F388" s="106"/>
      <c r="G388" s="106"/>
      <c r="H388" s="9" t="s">
        <v>548</v>
      </c>
      <c r="I388" s="10"/>
      <c r="J388" s="10"/>
      <c r="K388" s="361"/>
      <c r="L388" s="10">
        <f>20000-1200</f>
        <v>18800</v>
      </c>
      <c r="M388" s="10">
        <v>1145</v>
      </c>
      <c r="N388" s="361">
        <f t="shared" si="69"/>
        <v>6.0904255319148932</v>
      </c>
      <c r="O388" s="108">
        <f t="shared" si="65"/>
        <v>18800</v>
      </c>
      <c r="P388" s="108">
        <f t="shared" si="66"/>
        <v>1145</v>
      </c>
      <c r="Q388" s="361">
        <f t="shared" si="67"/>
        <v>6.0904255319148932</v>
      </c>
    </row>
    <row r="389" spans="2:17" ht="15" x14ac:dyDescent="0.25">
      <c r="B389" s="18">
        <f t="shared" si="68"/>
        <v>19</v>
      </c>
      <c r="C389" s="176"/>
      <c r="D389" s="176"/>
      <c r="E389" s="176">
        <v>2</v>
      </c>
      <c r="F389" s="177"/>
      <c r="G389" s="177"/>
      <c r="H389" s="176" t="s">
        <v>11</v>
      </c>
      <c r="I389" s="178">
        <f>I390+I391+I392+I399</f>
        <v>2478980</v>
      </c>
      <c r="J389" s="178">
        <f>J390+J391+J392+J399</f>
        <v>2121371</v>
      </c>
      <c r="K389" s="361">
        <f t="shared" ref="K389:K399" si="70">J389/I389*100</f>
        <v>85.574349127463705</v>
      </c>
      <c r="L389" s="178">
        <f>L400</f>
        <v>9500</v>
      </c>
      <c r="M389" s="178">
        <f>M400</f>
        <v>9456</v>
      </c>
      <c r="N389" s="361">
        <f t="shared" si="69"/>
        <v>99.536842105263162</v>
      </c>
      <c r="O389" s="179">
        <f t="shared" si="65"/>
        <v>2488480</v>
      </c>
      <c r="P389" s="179">
        <f t="shared" si="66"/>
        <v>2130827</v>
      </c>
      <c r="Q389" s="361">
        <f t="shared" si="67"/>
        <v>85.627652221436378</v>
      </c>
    </row>
    <row r="390" spans="2:17" x14ac:dyDescent="0.2">
      <c r="B390" s="18">
        <f t="shared" si="68"/>
        <v>20</v>
      </c>
      <c r="C390" s="3"/>
      <c r="D390" s="3"/>
      <c r="E390" s="3"/>
      <c r="F390" s="90" t="s">
        <v>219</v>
      </c>
      <c r="G390" s="2">
        <v>610</v>
      </c>
      <c r="H390" s="3" t="s">
        <v>131</v>
      </c>
      <c r="I390" s="4">
        <v>107100</v>
      </c>
      <c r="J390" s="4">
        <v>103064</v>
      </c>
      <c r="K390" s="361">
        <f t="shared" si="70"/>
        <v>96.231559290382819</v>
      </c>
      <c r="L390" s="4"/>
      <c r="M390" s="4"/>
      <c r="N390" s="361"/>
      <c r="O390" s="92">
        <f t="shared" si="65"/>
        <v>107100</v>
      </c>
      <c r="P390" s="92">
        <f t="shared" si="66"/>
        <v>103064</v>
      </c>
      <c r="Q390" s="361">
        <f t="shared" si="67"/>
        <v>96.231559290382819</v>
      </c>
    </row>
    <row r="391" spans="2:17" x14ac:dyDescent="0.2">
      <c r="B391" s="18">
        <f t="shared" si="68"/>
        <v>21</v>
      </c>
      <c r="C391" s="3"/>
      <c r="D391" s="3"/>
      <c r="E391" s="3"/>
      <c r="F391" s="90" t="s">
        <v>219</v>
      </c>
      <c r="G391" s="2">
        <v>620</v>
      </c>
      <c r="H391" s="3" t="s">
        <v>124</v>
      </c>
      <c r="I391" s="4">
        <v>41555</v>
      </c>
      <c r="J391" s="4">
        <v>37893</v>
      </c>
      <c r="K391" s="361">
        <f t="shared" si="70"/>
        <v>91.187582721694142</v>
      </c>
      <c r="L391" s="4"/>
      <c r="M391" s="4"/>
      <c r="N391" s="361"/>
      <c r="O391" s="92">
        <f t="shared" si="65"/>
        <v>41555</v>
      </c>
      <c r="P391" s="92">
        <f t="shared" si="66"/>
        <v>37893</v>
      </c>
      <c r="Q391" s="361">
        <f t="shared" si="67"/>
        <v>91.187582721694142</v>
      </c>
    </row>
    <row r="392" spans="2:17" x14ac:dyDescent="0.2">
      <c r="B392" s="18">
        <f t="shared" si="68"/>
        <v>22</v>
      </c>
      <c r="C392" s="3"/>
      <c r="D392" s="3"/>
      <c r="E392" s="3"/>
      <c r="F392" s="90" t="s">
        <v>219</v>
      </c>
      <c r="G392" s="2">
        <v>630</v>
      </c>
      <c r="H392" s="3" t="s">
        <v>121</v>
      </c>
      <c r="I392" s="4">
        <f>I398+I397+I396+I395+I394+I393</f>
        <v>2322935</v>
      </c>
      <c r="J392" s="4">
        <f>J398+J397+J396+J395+J394+J393</f>
        <v>1975748</v>
      </c>
      <c r="K392" s="361">
        <f t="shared" si="70"/>
        <v>85.053951143703983</v>
      </c>
      <c r="L392" s="4"/>
      <c r="M392" s="4"/>
      <c r="N392" s="361"/>
      <c r="O392" s="92">
        <f t="shared" si="65"/>
        <v>2322935</v>
      </c>
      <c r="P392" s="92">
        <f t="shared" si="66"/>
        <v>1975748</v>
      </c>
      <c r="Q392" s="361">
        <f t="shared" si="67"/>
        <v>85.053951143703983</v>
      </c>
    </row>
    <row r="393" spans="2:17" x14ac:dyDescent="0.2">
      <c r="B393" s="18">
        <f t="shared" si="68"/>
        <v>23</v>
      </c>
      <c r="C393" s="3"/>
      <c r="D393" s="3"/>
      <c r="E393" s="3"/>
      <c r="F393" s="90"/>
      <c r="G393" s="5">
        <v>632</v>
      </c>
      <c r="H393" s="6" t="s">
        <v>134</v>
      </c>
      <c r="I393" s="7">
        <v>1400</v>
      </c>
      <c r="J393" s="7">
        <v>384</v>
      </c>
      <c r="K393" s="361">
        <f t="shared" si="70"/>
        <v>27.428571428571431</v>
      </c>
      <c r="L393" s="4"/>
      <c r="M393" s="4"/>
      <c r="N393" s="361"/>
      <c r="O393" s="92">
        <f t="shared" si="65"/>
        <v>1400</v>
      </c>
      <c r="P393" s="92">
        <f t="shared" si="66"/>
        <v>384</v>
      </c>
      <c r="Q393" s="361">
        <f t="shared" si="67"/>
        <v>27.428571428571431</v>
      </c>
    </row>
    <row r="394" spans="2:17" x14ac:dyDescent="0.2">
      <c r="B394" s="18">
        <f t="shared" si="68"/>
        <v>24</v>
      </c>
      <c r="C394" s="6"/>
      <c r="D394" s="6"/>
      <c r="E394" s="6"/>
      <c r="F394" s="93"/>
      <c r="G394" s="5">
        <v>633</v>
      </c>
      <c r="H394" s="6" t="s">
        <v>125</v>
      </c>
      <c r="I394" s="7">
        <f>1000+23000+1000+2000</f>
        <v>27000</v>
      </c>
      <c r="J394" s="7">
        <v>26921</v>
      </c>
      <c r="K394" s="361">
        <f t="shared" si="70"/>
        <v>99.707407407407416</v>
      </c>
      <c r="L394" s="7"/>
      <c r="M394" s="7"/>
      <c r="N394" s="361"/>
      <c r="O394" s="95">
        <f t="shared" si="65"/>
        <v>27000</v>
      </c>
      <c r="P394" s="95">
        <f t="shared" si="66"/>
        <v>26921</v>
      </c>
      <c r="Q394" s="361">
        <f t="shared" si="67"/>
        <v>99.707407407407416</v>
      </c>
    </row>
    <row r="395" spans="2:17" x14ac:dyDescent="0.2">
      <c r="B395" s="18">
        <f t="shared" si="68"/>
        <v>25</v>
      </c>
      <c r="C395" s="6"/>
      <c r="D395" s="6"/>
      <c r="E395" s="6"/>
      <c r="F395" s="93"/>
      <c r="G395" s="5">
        <v>634</v>
      </c>
      <c r="H395" s="6" t="s">
        <v>132</v>
      </c>
      <c r="I395" s="7">
        <f>9600+7000+550+500</f>
        <v>17650</v>
      </c>
      <c r="J395" s="7">
        <v>15277</v>
      </c>
      <c r="K395" s="361">
        <f t="shared" si="70"/>
        <v>86.555240793201136</v>
      </c>
      <c r="L395" s="7"/>
      <c r="M395" s="7"/>
      <c r="N395" s="361"/>
      <c r="O395" s="95">
        <f t="shared" si="65"/>
        <v>17650</v>
      </c>
      <c r="P395" s="95">
        <f t="shared" si="66"/>
        <v>15277</v>
      </c>
      <c r="Q395" s="361">
        <f t="shared" si="67"/>
        <v>86.555240793201136</v>
      </c>
    </row>
    <row r="396" spans="2:17" x14ac:dyDescent="0.2">
      <c r="B396" s="18">
        <f t="shared" si="68"/>
        <v>26</v>
      </c>
      <c r="C396" s="6"/>
      <c r="D396" s="6"/>
      <c r="E396" s="6"/>
      <c r="F396" s="93"/>
      <c r="G396" s="5">
        <v>635</v>
      </c>
      <c r="H396" s="6" t="s">
        <v>133</v>
      </c>
      <c r="I396" s="7">
        <f>3000+1550000+1000+756000-8000-15000-30000</f>
        <v>2257000</v>
      </c>
      <c r="J396" s="7">
        <v>1922649</v>
      </c>
      <c r="K396" s="361">
        <f t="shared" si="70"/>
        <v>85.186043420469645</v>
      </c>
      <c r="L396" s="7"/>
      <c r="M396" s="7"/>
      <c r="N396" s="361"/>
      <c r="O396" s="95">
        <f t="shared" si="65"/>
        <v>2257000</v>
      </c>
      <c r="P396" s="95">
        <f t="shared" si="66"/>
        <v>1922649</v>
      </c>
      <c r="Q396" s="361">
        <f t="shared" si="67"/>
        <v>85.186043420469645</v>
      </c>
    </row>
    <row r="397" spans="2:17" x14ac:dyDescent="0.2">
      <c r="B397" s="18">
        <f t="shared" si="68"/>
        <v>27</v>
      </c>
      <c r="C397" s="6"/>
      <c r="D397" s="6"/>
      <c r="E397" s="6"/>
      <c r="F397" s="93"/>
      <c r="G397" s="5">
        <v>636</v>
      </c>
      <c r="H397" s="6" t="s">
        <v>126</v>
      </c>
      <c r="I397" s="7">
        <v>500</v>
      </c>
      <c r="J397" s="7">
        <v>0</v>
      </c>
      <c r="K397" s="361">
        <f t="shared" si="70"/>
        <v>0</v>
      </c>
      <c r="L397" s="7"/>
      <c r="M397" s="7"/>
      <c r="N397" s="361"/>
      <c r="O397" s="95">
        <f t="shared" si="65"/>
        <v>500</v>
      </c>
      <c r="P397" s="95">
        <f t="shared" si="66"/>
        <v>0</v>
      </c>
      <c r="Q397" s="361">
        <f t="shared" si="67"/>
        <v>0</v>
      </c>
    </row>
    <row r="398" spans="2:17" x14ac:dyDescent="0.2">
      <c r="B398" s="18">
        <f t="shared" si="68"/>
        <v>28</v>
      </c>
      <c r="C398" s="6"/>
      <c r="D398" s="6"/>
      <c r="E398" s="6"/>
      <c r="F398" s="93"/>
      <c r="G398" s="5">
        <v>637</v>
      </c>
      <c r="H398" s="6" t="s">
        <v>122</v>
      </c>
      <c r="I398" s="7">
        <f>1000+10400+1500+1775+1000+1610+3600-9500+8000</f>
        <v>19385</v>
      </c>
      <c r="J398" s="7">
        <v>10517</v>
      </c>
      <c r="K398" s="361">
        <f t="shared" si="70"/>
        <v>54.253288625225693</v>
      </c>
      <c r="L398" s="7"/>
      <c r="M398" s="7"/>
      <c r="N398" s="361"/>
      <c r="O398" s="95">
        <f t="shared" si="65"/>
        <v>19385</v>
      </c>
      <c r="P398" s="95">
        <f t="shared" si="66"/>
        <v>10517</v>
      </c>
      <c r="Q398" s="361">
        <f t="shared" si="67"/>
        <v>54.253288625225693</v>
      </c>
    </row>
    <row r="399" spans="2:17" x14ac:dyDescent="0.2">
      <c r="B399" s="18">
        <f t="shared" si="68"/>
        <v>29</v>
      </c>
      <c r="C399" s="3"/>
      <c r="D399" s="3"/>
      <c r="E399" s="3"/>
      <c r="F399" s="90" t="s">
        <v>219</v>
      </c>
      <c r="G399" s="2">
        <v>640</v>
      </c>
      <c r="H399" s="3" t="s">
        <v>129</v>
      </c>
      <c r="I399" s="4">
        <f>2190+4200+1000</f>
        <v>7390</v>
      </c>
      <c r="J399" s="4">
        <v>4666</v>
      </c>
      <c r="K399" s="361">
        <f t="shared" si="70"/>
        <v>63.139377537212447</v>
      </c>
      <c r="L399" s="4"/>
      <c r="M399" s="4"/>
      <c r="N399" s="361"/>
      <c r="O399" s="92">
        <f t="shared" si="65"/>
        <v>7390</v>
      </c>
      <c r="P399" s="92">
        <f t="shared" si="66"/>
        <v>4666</v>
      </c>
      <c r="Q399" s="361">
        <f t="shared" si="67"/>
        <v>63.139377537212447</v>
      </c>
    </row>
    <row r="400" spans="2:17" x14ac:dyDescent="0.2">
      <c r="B400" s="18">
        <f t="shared" si="68"/>
        <v>30</v>
      </c>
      <c r="C400" s="3"/>
      <c r="D400" s="3"/>
      <c r="E400" s="3"/>
      <c r="F400" s="90" t="s">
        <v>219</v>
      </c>
      <c r="G400" s="2">
        <v>710</v>
      </c>
      <c r="H400" s="3" t="s">
        <v>175</v>
      </c>
      <c r="I400" s="4"/>
      <c r="J400" s="4"/>
      <c r="K400" s="361"/>
      <c r="L400" s="4">
        <f>L401</f>
        <v>9500</v>
      </c>
      <c r="M400" s="4">
        <f>M401</f>
        <v>9456</v>
      </c>
      <c r="N400" s="361">
        <f>M400/L400*100</f>
        <v>99.536842105263162</v>
      </c>
      <c r="O400" s="92">
        <f t="shared" si="65"/>
        <v>9500</v>
      </c>
      <c r="P400" s="92">
        <f t="shared" si="66"/>
        <v>9456</v>
      </c>
      <c r="Q400" s="361">
        <f t="shared" si="67"/>
        <v>99.536842105263162</v>
      </c>
    </row>
    <row r="401" spans="2:17" x14ac:dyDescent="0.2">
      <c r="B401" s="18">
        <f t="shared" si="68"/>
        <v>31</v>
      </c>
      <c r="C401" s="3"/>
      <c r="D401" s="3"/>
      <c r="E401" s="3"/>
      <c r="F401" s="93" t="s">
        <v>219</v>
      </c>
      <c r="G401" s="5">
        <v>716</v>
      </c>
      <c r="H401" s="6" t="s">
        <v>215</v>
      </c>
      <c r="I401" s="7"/>
      <c r="J401" s="7"/>
      <c r="K401" s="361"/>
      <c r="L401" s="7">
        <f>L402</f>
        <v>9500</v>
      </c>
      <c r="M401" s="7">
        <f>M402</f>
        <v>9456</v>
      </c>
      <c r="N401" s="361">
        <f>M401/L401*100</f>
        <v>99.536842105263162</v>
      </c>
      <c r="O401" s="95">
        <f t="shared" si="65"/>
        <v>9500</v>
      </c>
      <c r="P401" s="95">
        <f t="shared" si="66"/>
        <v>9456</v>
      </c>
      <c r="Q401" s="361">
        <f t="shared" si="67"/>
        <v>99.536842105263162</v>
      </c>
    </row>
    <row r="402" spans="2:17" x14ac:dyDescent="0.2">
      <c r="B402" s="18">
        <f t="shared" si="68"/>
        <v>32</v>
      </c>
      <c r="C402" s="3"/>
      <c r="D402" s="3"/>
      <c r="E402" s="3"/>
      <c r="F402" s="106"/>
      <c r="G402" s="106"/>
      <c r="H402" s="9" t="s">
        <v>568</v>
      </c>
      <c r="I402" s="10"/>
      <c r="J402" s="10"/>
      <c r="K402" s="361"/>
      <c r="L402" s="10">
        <v>9500</v>
      </c>
      <c r="M402" s="10">
        <v>9456</v>
      </c>
      <c r="N402" s="361">
        <f>M402/L402*100</f>
        <v>99.536842105263162</v>
      </c>
      <c r="O402" s="108">
        <f t="shared" si="65"/>
        <v>9500</v>
      </c>
      <c r="P402" s="108">
        <f t="shared" si="66"/>
        <v>9456</v>
      </c>
      <c r="Q402" s="361">
        <f t="shared" si="67"/>
        <v>99.536842105263162</v>
      </c>
    </row>
    <row r="403" spans="2:17" ht="15" x14ac:dyDescent="0.25">
      <c r="B403" s="18">
        <f t="shared" si="68"/>
        <v>33</v>
      </c>
      <c r="C403" s="96"/>
      <c r="D403" s="96">
        <v>2</v>
      </c>
      <c r="E403" s="497" t="s">
        <v>389</v>
      </c>
      <c r="F403" s="498"/>
      <c r="G403" s="498"/>
      <c r="H403" s="498"/>
      <c r="I403" s="97">
        <f>I404</f>
        <v>457069</v>
      </c>
      <c r="J403" s="97">
        <f>J404</f>
        <v>425043</v>
      </c>
      <c r="K403" s="361">
        <f>J403/I403*100</f>
        <v>92.993180460718179</v>
      </c>
      <c r="L403" s="97">
        <f>L408</f>
        <v>11800</v>
      </c>
      <c r="M403" s="97">
        <f>M408</f>
        <v>2200</v>
      </c>
      <c r="N403" s="361">
        <f>M403/L403*100</f>
        <v>18.64406779661017</v>
      </c>
      <c r="O403" s="98">
        <f t="shared" ref="O403:O434" si="71">I403+L403</f>
        <v>468869</v>
      </c>
      <c r="P403" s="98">
        <f t="shared" ref="P403:P434" si="72">J403+M403</f>
        <v>427243</v>
      </c>
      <c r="Q403" s="361">
        <f t="shared" ref="Q403:Q434" si="73">P403/O403*100</f>
        <v>91.122040484655628</v>
      </c>
    </row>
    <row r="404" spans="2:17" x14ac:dyDescent="0.2">
      <c r="B404" s="18">
        <f t="shared" ref="B404:B435" si="74">B403+1</f>
        <v>34</v>
      </c>
      <c r="C404" s="3"/>
      <c r="D404" s="3"/>
      <c r="E404" s="3"/>
      <c r="F404" s="90" t="s">
        <v>219</v>
      </c>
      <c r="G404" s="2">
        <v>630</v>
      </c>
      <c r="H404" s="3" t="s">
        <v>121</v>
      </c>
      <c r="I404" s="4">
        <f>SUM(I405:I407)</f>
        <v>457069</v>
      </c>
      <c r="J404" s="4">
        <f>SUM(J405:J407)</f>
        <v>425043</v>
      </c>
      <c r="K404" s="361">
        <f>J404/I404*100</f>
        <v>92.993180460718179</v>
      </c>
      <c r="L404" s="4"/>
      <c r="M404" s="4"/>
      <c r="N404" s="361"/>
      <c r="O404" s="92">
        <f t="shared" si="71"/>
        <v>457069</v>
      </c>
      <c r="P404" s="92">
        <f t="shared" si="72"/>
        <v>425043</v>
      </c>
      <c r="Q404" s="361">
        <f t="shared" si="73"/>
        <v>92.993180460718179</v>
      </c>
    </row>
    <row r="405" spans="2:17" x14ac:dyDescent="0.2">
      <c r="B405" s="18">
        <f t="shared" si="74"/>
        <v>35</v>
      </c>
      <c r="C405" s="6"/>
      <c r="D405" s="6"/>
      <c r="E405" s="6"/>
      <c r="F405" s="93"/>
      <c r="G405" s="5">
        <v>633</v>
      </c>
      <c r="H405" s="6" t="s">
        <v>125</v>
      </c>
      <c r="I405" s="7">
        <f>8000-5000</f>
        <v>3000</v>
      </c>
      <c r="J405" s="7">
        <v>2665</v>
      </c>
      <c r="K405" s="361">
        <f>J405/I405*100</f>
        <v>88.833333333333329</v>
      </c>
      <c r="L405" s="7"/>
      <c r="M405" s="7"/>
      <c r="N405" s="361"/>
      <c r="O405" s="95">
        <f t="shared" si="71"/>
        <v>3000</v>
      </c>
      <c r="P405" s="95">
        <f t="shared" si="72"/>
        <v>2665</v>
      </c>
      <c r="Q405" s="361">
        <f t="shared" si="73"/>
        <v>88.833333333333329</v>
      </c>
    </row>
    <row r="406" spans="2:17" x14ac:dyDescent="0.2">
      <c r="B406" s="18">
        <f t="shared" si="74"/>
        <v>36</v>
      </c>
      <c r="C406" s="6"/>
      <c r="D406" s="6"/>
      <c r="E406" s="6"/>
      <c r="F406" s="93"/>
      <c r="G406" s="5">
        <v>635</v>
      </c>
      <c r="H406" s="6" t="s">
        <v>133</v>
      </c>
      <c r="I406" s="7">
        <f>180183+7416</f>
        <v>187599</v>
      </c>
      <c r="J406" s="7">
        <v>176932</v>
      </c>
      <c r="K406" s="361">
        <f>J406/I406*100</f>
        <v>94.313935575349547</v>
      </c>
      <c r="L406" s="7"/>
      <c r="M406" s="7"/>
      <c r="N406" s="361"/>
      <c r="O406" s="95">
        <f t="shared" si="71"/>
        <v>187599</v>
      </c>
      <c r="P406" s="95">
        <f t="shared" si="72"/>
        <v>176932</v>
      </c>
      <c r="Q406" s="361">
        <f t="shared" si="73"/>
        <v>94.313935575349547</v>
      </c>
    </row>
    <row r="407" spans="2:17" x14ac:dyDescent="0.2">
      <c r="B407" s="18">
        <f t="shared" si="74"/>
        <v>37</v>
      </c>
      <c r="C407" s="6"/>
      <c r="D407" s="6"/>
      <c r="E407" s="6"/>
      <c r="F407" s="93"/>
      <c r="G407" s="5">
        <v>637</v>
      </c>
      <c r="H407" s="6" t="s">
        <v>122</v>
      </c>
      <c r="I407" s="7">
        <f>48000+200000-1530+20000</f>
        <v>266470</v>
      </c>
      <c r="J407" s="7">
        <v>245446</v>
      </c>
      <c r="K407" s="361">
        <f>J407/I407*100</f>
        <v>92.110181258678267</v>
      </c>
      <c r="L407" s="7"/>
      <c r="M407" s="7"/>
      <c r="N407" s="361"/>
      <c r="O407" s="95">
        <f t="shared" si="71"/>
        <v>266470</v>
      </c>
      <c r="P407" s="95">
        <f t="shared" si="72"/>
        <v>245446</v>
      </c>
      <c r="Q407" s="361">
        <f t="shared" si="73"/>
        <v>92.110181258678267</v>
      </c>
    </row>
    <row r="408" spans="2:17" x14ac:dyDescent="0.2">
      <c r="B408" s="18">
        <f t="shared" si="74"/>
        <v>38</v>
      </c>
      <c r="C408" s="3"/>
      <c r="D408" s="3"/>
      <c r="E408" s="3"/>
      <c r="F408" s="90" t="s">
        <v>219</v>
      </c>
      <c r="G408" s="2">
        <v>710</v>
      </c>
      <c r="H408" s="3" t="s">
        <v>175</v>
      </c>
      <c r="I408" s="4"/>
      <c r="J408" s="4"/>
      <c r="K408" s="361"/>
      <c r="L408" s="4">
        <f>L411+L409</f>
        <v>11800</v>
      </c>
      <c r="M408" s="4">
        <f>M411+M409</f>
        <v>2200</v>
      </c>
      <c r="N408" s="361">
        <f t="shared" ref="N408:N439" si="75">M408/L408*100</f>
        <v>18.64406779661017</v>
      </c>
      <c r="O408" s="92">
        <f t="shared" si="71"/>
        <v>11800</v>
      </c>
      <c r="P408" s="92">
        <f t="shared" si="72"/>
        <v>2200</v>
      </c>
      <c r="Q408" s="361">
        <f t="shared" si="73"/>
        <v>18.64406779661017</v>
      </c>
    </row>
    <row r="409" spans="2:17" x14ac:dyDescent="0.2">
      <c r="B409" s="18">
        <f t="shared" si="74"/>
        <v>39</v>
      </c>
      <c r="C409" s="3"/>
      <c r="D409" s="3"/>
      <c r="E409" s="3"/>
      <c r="F409" s="90"/>
      <c r="G409" s="154">
        <v>713</v>
      </c>
      <c r="H409" s="152" t="s">
        <v>218</v>
      </c>
      <c r="I409" s="150"/>
      <c r="J409" s="150"/>
      <c r="K409" s="361"/>
      <c r="L409" s="155">
        <f>L410</f>
        <v>1800</v>
      </c>
      <c r="M409" s="155">
        <f>M410</f>
        <v>1800</v>
      </c>
      <c r="N409" s="361">
        <f t="shared" si="75"/>
        <v>100</v>
      </c>
      <c r="O409" s="156">
        <f t="shared" si="71"/>
        <v>1800</v>
      </c>
      <c r="P409" s="156">
        <f t="shared" si="72"/>
        <v>1800</v>
      </c>
      <c r="Q409" s="361">
        <f t="shared" si="73"/>
        <v>100</v>
      </c>
    </row>
    <row r="410" spans="2:17" x14ac:dyDescent="0.2">
      <c r="B410" s="18">
        <f t="shared" si="74"/>
        <v>40</v>
      </c>
      <c r="C410" s="3"/>
      <c r="D410" s="3"/>
      <c r="E410" s="3"/>
      <c r="F410" s="90"/>
      <c r="G410" s="163"/>
      <c r="H410" s="161" t="s">
        <v>703</v>
      </c>
      <c r="I410" s="164"/>
      <c r="J410" s="164"/>
      <c r="K410" s="361"/>
      <c r="L410" s="164">
        <v>1800</v>
      </c>
      <c r="M410" s="164">
        <v>1800</v>
      </c>
      <c r="N410" s="361">
        <f t="shared" si="75"/>
        <v>100</v>
      </c>
      <c r="O410" s="165">
        <f t="shared" si="71"/>
        <v>1800</v>
      </c>
      <c r="P410" s="165">
        <f t="shared" si="72"/>
        <v>1800</v>
      </c>
      <c r="Q410" s="361">
        <f t="shared" si="73"/>
        <v>100</v>
      </c>
    </row>
    <row r="411" spans="2:17" x14ac:dyDescent="0.2">
      <c r="B411" s="18">
        <f t="shared" si="74"/>
        <v>41</v>
      </c>
      <c r="C411" s="6"/>
      <c r="D411" s="6"/>
      <c r="E411" s="6"/>
      <c r="F411" s="93"/>
      <c r="G411" s="5">
        <v>716</v>
      </c>
      <c r="H411" s="6" t="s">
        <v>215</v>
      </c>
      <c r="I411" s="7"/>
      <c r="J411" s="7"/>
      <c r="K411" s="361"/>
      <c r="L411" s="7">
        <f>L412</f>
        <v>10000</v>
      </c>
      <c r="M411" s="7">
        <f>M412</f>
        <v>400</v>
      </c>
      <c r="N411" s="361">
        <f t="shared" si="75"/>
        <v>4</v>
      </c>
      <c r="O411" s="95">
        <f t="shared" si="71"/>
        <v>10000</v>
      </c>
      <c r="P411" s="95">
        <f t="shared" si="72"/>
        <v>400</v>
      </c>
      <c r="Q411" s="361">
        <f t="shared" si="73"/>
        <v>4</v>
      </c>
    </row>
    <row r="412" spans="2:17" x14ac:dyDescent="0.2">
      <c r="B412" s="18">
        <f t="shared" si="74"/>
        <v>42</v>
      </c>
      <c r="C412" s="67"/>
      <c r="D412" s="67"/>
      <c r="E412" s="67"/>
      <c r="F412" s="106"/>
      <c r="G412" s="106"/>
      <c r="H412" s="9" t="s">
        <v>502</v>
      </c>
      <c r="I412" s="10"/>
      <c r="J412" s="10"/>
      <c r="K412" s="361"/>
      <c r="L412" s="10">
        <v>10000</v>
      </c>
      <c r="M412" s="10">
        <v>400</v>
      </c>
      <c r="N412" s="361">
        <f t="shared" si="75"/>
        <v>4</v>
      </c>
      <c r="O412" s="108">
        <f t="shared" si="71"/>
        <v>10000</v>
      </c>
      <c r="P412" s="108">
        <f t="shared" si="72"/>
        <v>400</v>
      </c>
      <c r="Q412" s="361">
        <f t="shared" si="73"/>
        <v>4</v>
      </c>
    </row>
    <row r="413" spans="2:17" ht="15" x14ac:dyDescent="0.2">
      <c r="B413" s="18">
        <f t="shared" si="74"/>
        <v>43</v>
      </c>
      <c r="C413" s="82">
        <v>3</v>
      </c>
      <c r="D413" s="495" t="s">
        <v>225</v>
      </c>
      <c r="E413" s="496"/>
      <c r="F413" s="496"/>
      <c r="G413" s="496"/>
      <c r="H413" s="496"/>
      <c r="I413" s="83"/>
      <c r="J413" s="83"/>
      <c r="K413" s="84"/>
      <c r="L413" s="83">
        <f>L414</f>
        <v>3433370</v>
      </c>
      <c r="M413" s="83">
        <f>M414</f>
        <v>1744109</v>
      </c>
      <c r="N413" s="361">
        <f t="shared" si="75"/>
        <v>50.798748751226931</v>
      </c>
      <c r="O413" s="99">
        <f t="shared" si="71"/>
        <v>3433370</v>
      </c>
      <c r="P413" s="99">
        <f t="shared" si="72"/>
        <v>1744109</v>
      </c>
      <c r="Q413" s="361">
        <f t="shared" si="73"/>
        <v>50.798748751226931</v>
      </c>
    </row>
    <row r="414" spans="2:17" x14ac:dyDescent="0.2">
      <c r="B414" s="18">
        <f t="shared" si="74"/>
        <v>44</v>
      </c>
      <c r="C414" s="3"/>
      <c r="D414" s="3"/>
      <c r="E414" s="3"/>
      <c r="F414" s="90" t="s">
        <v>219</v>
      </c>
      <c r="G414" s="2">
        <v>710</v>
      </c>
      <c r="H414" s="3" t="s">
        <v>175</v>
      </c>
      <c r="I414" s="4"/>
      <c r="J414" s="4"/>
      <c r="K414" s="91"/>
      <c r="L414" s="4">
        <f>L415+L452+L485</f>
        <v>3433370</v>
      </c>
      <c r="M414" s="4">
        <f>M415+M452+M485</f>
        <v>1744109</v>
      </c>
      <c r="N414" s="361">
        <f t="shared" si="75"/>
        <v>50.798748751226931</v>
      </c>
      <c r="O414" s="92">
        <f t="shared" si="71"/>
        <v>3433370</v>
      </c>
      <c r="P414" s="92">
        <f t="shared" si="72"/>
        <v>1744109</v>
      </c>
      <c r="Q414" s="361">
        <f t="shared" si="73"/>
        <v>50.798748751226931</v>
      </c>
    </row>
    <row r="415" spans="2:17" x14ac:dyDescent="0.2">
      <c r="B415" s="18">
        <f t="shared" si="74"/>
        <v>45</v>
      </c>
      <c r="C415" s="180"/>
      <c r="D415" s="180"/>
      <c r="E415" s="180"/>
      <c r="F415" s="181"/>
      <c r="G415" s="182">
        <v>716</v>
      </c>
      <c r="H415" s="180" t="s">
        <v>215</v>
      </c>
      <c r="I415" s="183"/>
      <c r="J415" s="183"/>
      <c r="K415" s="94"/>
      <c r="L415" s="183">
        <f>SUM(L416:L451)</f>
        <v>1075057</v>
      </c>
      <c r="M415" s="183">
        <f>SUM(M416:M451)</f>
        <v>115892</v>
      </c>
      <c r="N415" s="361">
        <f t="shared" si="75"/>
        <v>10.780079567874076</v>
      </c>
      <c r="O415" s="184">
        <f t="shared" si="71"/>
        <v>1075057</v>
      </c>
      <c r="P415" s="184">
        <f t="shared" si="72"/>
        <v>115892</v>
      </c>
      <c r="Q415" s="361">
        <f t="shared" si="73"/>
        <v>10.780079567874076</v>
      </c>
    </row>
    <row r="416" spans="2:17" x14ac:dyDescent="0.2">
      <c r="B416" s="18">
        <f t="shared" si="74"/>
        <v>46</v>
      </c>
      <c r="C416" s="67"/>
      <c r="D416" s="67"/>
      <c r="E416" s="67"/>
      <c r="F416" s="106"/>
      <c r="G416" s="106"/>
      <c r="H416" s="9" t="s">
        <v>299</v>
      </c>
      <c r="I416" s="10"/>
      <c r="J416" s="10"/>
      <c r="K416" s="107"/>
      <c r="L416" s="10">
        <v>26961</v>
      </c>
      <c r="M416" s="10">
        <v>26020</v>
      </c>
      <c r="N416" s="361">
        <f t="shared" si="75"/>
        <v>96.509773376358439</v>
      </c>
      <c r="O416" s="108">
        <f t="shared" si="71"/>
        <v>26961</v>
      </c>
      <c r="P416" s="108">
        <f t="shared" si="72"/>
        <v>26020</v>
      </c>
      <c r="Q416" s="361">
        <f t="shared" si="73"/>
        <v>96.509773376358439</v>
      </c>
    </row>
    <row r="417" spans="2:17" x14ac:dyDescent="0.2">
      <c r="B417" s="18">
        <f t="shared" si="74"/>
        <v>47</v>
      </c>
      <c r="C417" s="67"/>
      <c r="D417" s="67"/>
      <c r="E417" s="67"/>
      <c r="F417" s="106"/>
      <c r="G417" s="106"/>
      <c r="H417" s="9" t="s">
        <v>657</v>
      </c>
      <c r="I417" s="10"/>
      <c r="J417" s="10"/>
      <c r="K417" s="107"/>
      <c r="L417" s="10">
        <v>15000</v>
      </c>
      <c r="M417" s="10">
        <v>5250</v>
      </c>
      <c r="N417" s="361">
        <f t="shared" si="75"/>
        <v>35</v>
      </c>
      <c r="O417" s="108">
        <f t="shared" si="71"/>
        <v>15000</v>
      </c>
      <c r="P417" s="108">
        <f t="shared" si="72"/>
        <v>5250</v>
      </c>
      <c r="Q417" s="361">
        <f t="shared" si="73"/>
        <v>35</v>
      </c>
    </row>
    <row r="418" spans="2:17" x14ac:dyDescent="0.2">
      <c r="B418" s="18">
        <f t="shared" si="74"/>
        <v>48</v>
      </c>
      <c r="C418" s="67"/>
      <c r="D418" s="67"/>
      <c r="E418" s="67"/>
      <c r="F418" s="106"/>
      <c r="G418" s="106"/>
      <c r="H418" s="9" t="s">
        <v>356</v>
      </c>
      <c r="I418" s="10"/>
      <c r="J418" s="10"/>
      <c r="K418" s="107"/>
      <c r="L418" s="10">
        <f>40852+3500</f>
        <v>44352</v>
      </c>
      <c r="M418" s="10">
        <v>5920</v>
      </c>
      <c r="N418" s="361">
        <f t="shared" si="75"/>
        <v>13.347763347763347</v>
      </c>
      <c r="O418" s="108">
        <f t="shared" si="71"/>
        <v>44352</v>
      </c>
      <c r="P418" s="108">
        <f t="shared" si="72"/>
        <v>5920</v>
      </c>
      <c r="Q418" s="361">
        <f t="shared" si="73"/>
        <v>13.347763347763347</v>
      </c>
    </row>
    <row r="419" spans="2:17" x14ac:dyDescent="0.2">
      <c r="B419" s="18">
        <f t="shared" si="74"/>
        <v>49</v>
      </c>
      <c r="C419" s="67"/>
      <c r="D419" s="67"/>
      <c r="E419" s="67"/>
      <c r="F419" s="106"/>
      <c r="G419" s="106"/>
      <c r="H419" s="9" t="s">
        <v>465</v>
      </c>
      <c r="I419" s="10"/>
      <c r="J419" s="10"/>
      <c r="K419" s="107"/>
      <c r="L419" s="10">
        <f>15000-1800</f>
        <v>13200</v>
      </c>
      <c r="M419" s="10">
        <v>2800</v>
      </c>
      <c r="N419" s="361">
        <f t="shared" si="75"/>
        <v>21.212121212121211</v>
      </c>
      <c r="O419" s="108">
        <f t="shared" si="71"/>
        <v>13200</v>
      </c>
      <c r="P419" s="108">
        <f t="shared" si="72"/>
        <v>2800</v>
      </c>
      <c r="Q419" s="361">
        <f t="shared" si="73"/>
        <v>21.212121212121211</v>
      </c>
    </row>
    <row r="420" spans="2:17" x14ac:dyDescent="0.2">
      <c r="B420" s="18">
        <f t="shared" si="74"/>
        <v>50</v>
      </c>
      <c r="C420" s="67"/>
      <c r="D420" s="67"/>
      <c r="E420" s="67"/>
      <c r="F420" s="106"/>
      <c r="G420" s="106"/>
      <c r="H420" s="9" t="s">
        <v>429</v>
      </c>
      <c r="I420" s="10"/>
      <c r="J420" s="10"/>
      <c r="K420" s="107"/>
      <c r="L420" s="10">
        <v>6000</v>
      </c>
      <c r="M420" s="10">
        <v>400</v>
      </c>
      <c r="N420" s="361">
        <f t="shared" si="75"/>
        <v>6.666666666666667</v>
      </c>
      <c r="O420" s="108">
        <f t="shared" si="71"/>
        <v>6000</v>
      </c>
      <c r="P420" s="108">
        <f t="shared" si="72"/>
        <v>400</v>
      </c>
      <c r="Q420" s="361">
        <f t="shared" si="73"/>
        <v>6.666666666666667</v>
      </c>
    </row>
    <row r="421" spans="2:17" x14ac:dyDescent="0.2">
      <c r="B421" s="18">
        <f t="shared" si="74"/>
        <v>51</v>
      </c>
      <c r="C421" s="67"/>
      <c r="D421" s="67"/>
      <c r="E421" s="67"/>
      <c r="F421" s="106"/>
      <c r="G421" s="106"/>
      <c r="H421" s="9" t="s">
        <v>540</v>
      </c>
      <c r="I421" s="10"/>
      <c r="J421" s="10"/>
      <c r="K421" s="107"/>
      <c r="L421" s="10">
        <v>3000</v>
      </c>
      <c r="M421" s="10">
        <v>1200</v>
      </c>
      <c r="N421" s="361">
        <f t="shared" si="75"/>
        <v>40</v>
      </c>
      <c r="O421" s="108">
        <f t="shared" si="71"/>
        <v>3000</v>
      </c>
      <c r="P421" s="108">
        <f t="shared" si="72"/>
        <v>1200</v>
      </c>
      <c r="Q421" s="361">
        <f t="shared" si="73"/>
        <v>40</v>
      </c>
    </row>
    <row r="422" spans="2:17" x14ac:dyDescent="0.2">
      <c r="B422" s="18">
        <f t="shared" si="74"/>
        <v>52</v>
      </c>
      <c r="C422" s="67"/>
      <c r="D422" s="67"/>
      <c r="E422" s="67"/>
      <c r="F422" s="106"/>
      <c r="G422" s="106"/>
      <c r="H422" s="9" t="s">
        <v>430</v>
      </c>
      <c r="I422" s="10"/>
      <c r="J422" s="10"/>
      <c r="K422" s="107"/>
      <c r="L422" s="10">
        <v>100000</v>
      </c>
      <c r="M422" s="10">
        <v>19800</v>
      </c>
      <c r="N422" s="361">
        <f t="shared" si="75"/>
        <v>19.8</v>
      </c>
      <c r="O422" s="108">
        <f t="shared" si="71"/>
        <v>100000</v>
      </c>
      <c r="P422" s="108">
        <f t="shared" si="72"/>
        <v>19800</v>
      </c>
      <c r="Q422" s="361">
        <f t="shared" si="73"/>
        <v>19.8</v>
      </c>
    </row>
    <row r="423" spans="2:17" x14ac:dyDescent="0.2">
      <c r="B423" s="18">
        <f t="shared" si="74"/>
        <v>53</v>
      </c>
      <c r="C423" s="67"/>
      <c r="D423" s="67"/>
      <c r="E423" s="67"/>
      <c r="F423" s="106"/>
      <c r="G423" s="106"/>
      <c r="H423" s="9" t="s">
        <v>296</v>
      </c>
      <c r="I423" s="10"/>
      <c r="J423" s="10"/>
      <c r="K423" s="107"/>
      <c r="L423" s="10">
        <v>70000</v>
      </c>
      <c r="M423" s="10">
        <v>0</v>
      </c>
      <c r="N423" s="361">
        <f t="shared" si="75"/>
        <v>0</v>
      </c>
      <c r="O423" s="108">
        <f t="shared" si="71"/>
        <v>70000</v>
      </c>
      <c r="P423" s="108">
        <f t="shared" si="72"/>
        <v>0</v>
      </c>
      <c r="Q423" s="361">
        <f t="shared" si="73"/>
        <v>0</v>
      </c>
    </row>
    <row r="424" spans="2:17" x14ac:dyDescent="0.2">
      <c r="B424" s="18">
        <f t="shared" si="74"/>
        <v>54</v>
      </c>
      <c r="C424" s="67"/>
      <c r="D424" s="67"/>
      <c r="E424" s="67"/>
      <c r="F424" s="106"/>
      <c r="G424" s="106"/>
      <c r="H424" s="9" t="s">
        <v>543</v>
      </c>
      <c r="I424" s="10"/>
      <c r="J424" s="10"/>
      <c r="K424" s="107"/>
      <c r="L424" s="10">
        <v>32000</v>
      </c>
      <c r="M424" s="10">
        <v>924</v>
      </c>
      <c r="N424" s="361">
        <f t="shared" si="75"/>
        <v>2.8875000000000002</v>
      </c>
      <c r="O424" s="108">
        <f t="shared" si="71"/>
        <v>32000</v>
      </c>
      <c r="P424" s="108">
        <f t="shared" si="72"/>
        <v>924</v>
      </c>
      <c r="Q424" s="361">
        <f t="shared" si="73"/>
        <v>2.8875000000000002</v>
      </c>
    </row>
    <row r="425" spans="2:17" x14ac:dyDescent="0.2">
      <c r="B425" s="18">
        <f t="shared" si="74"/>
        <v>55</v>
      </c>
      <c r="C425" s="67"/>
      <c r="D425" s="67"/>
      <c r="E425" s="67"/>
      <c r="F425" s="106"/>
      <c r="G425" s="106"/>
      <c r="H425" s="9" t="s">
        <v>517</v>
      </c>
      <c r="I425" s="10"/>
      <c r="J425" s="10"/>
      <c r="K425" s="107"/>
      <c r="L425" s="10">
        <v>381000</v>
      </c>
      <c r="M425" s="10">
        <v>0</v>
      </c>
      <c r="N425" s="361">
        <f t="shared" si="75"/>
        <v>0</v>
      </c>
      <c r="O425" s="108">
        <f t="shared" si="71"/>
        <v>381000</v>
      </c>
      <c r="P425" s="108">
        <f t="shared" si="72"/>
        <v>0</v>
      </c>
      <c r="Q425" s="361">
        <f t="shared" si="73"/>
        <v>0</v>
      </c>
    </row>
    <row r="426" spans="2:17" x14ac:dyDescent="0.2">
      <c r="B426" s="18">
        <f t="shared" si="74"/>
        <v>56</v>
      </c>
      <c r="C426" s="67"/>
      <c r="D426" s="67"/>
      <c r="E426" s="67"/>
      <c r="F426" s="106"/>
      <c r="G426" s="106"/>
      <c r="H426" s="9" t="s">
        <v>431</v>
      </c>
      <c r="I426" s="10"/>
      <c r="J426" s="10"/>
      <c r="K426" s="107"/>
      <c r="L426" s="10">
        <v>19000</v>
      </c>
      <c r="M426" s="10">
        <v>5600</v>
      </c>
      <c r="N426" s="361">
        <f t="shared" si="75"/>
        <v>29.473684210526311</v>
      </c>
      <c r="O426" s="108">
        <f t="shared" si="71"/>
        <v>19000</v>
      </c>
      <c r="P426" s="108">
        <f t="shared" si="72"/>
        <v>5600</v>
      </c>
      <c r="Q426" s="361">
        <f t="shared" si="73"/>
        <v>29.473684210526311</v>
      </c>
    </row>
    <row r="427" spans="2:17" x14ac:dyDescent="0.2">
      <c r="B427" s="18">
        <f t="shared" si="74"/>
        <v>57</v>
      </c>
      <c r="C427" s="67"/>
      <c r="D427" s="67"/>
      <c r="E427" s="67"/>
      <c r="F427" s="106"/>
      <c r="G427" s="106"/>
      <c r="H427" s="9" t="s">
        <v>395</v>
      </c>
      <c r="I427" s="10"/>
      <c r="J427" s="10"/>
      <c r="K427" s="107"/>
      <c r="L427" s="10">
        <v>60200</v>
      </c>
      <c r="M427" s="10">
        <v>0</v>
      </c>
      <c r="N427" s="361">
        <f t="shared" si="75"/>
        <v>0</v>
      </c>
      <c r="O427" s="108">
        <f t="shared" si="71"/>
        <v>60200</v>
      </c>
      <c r="P427" s="108">
        <f t="shared" si="72"/>
        <v>0</v>
      </c>
      <c r="Q427" s="361">
        <f t="shared" si="73"/>
        <v>0</v>
      </c>
    </row>
    <row r="428" spans="2:17" x14ac:dyDescent="0.2">
      <c r="B428" s="18">
        <f t="shared" si="74"/>
        <v>58</v>
      </c>
      <c r="C428" s="67"/>
      <c r="D428" s="67"/>
      <c r="E428" s="67"/>
      <c r="F428" s="106"/>
      <c r="G428" s="106"/>
      <c r="H428" s="9" t="s">
        <v>357</v>
      </c>
      <c r="I428" s="10"/>
      <c r="J428" s="10"/>
      <c r="K428" s="107"/>
      <c r="L428" s="10">
        <f>25000+20180</f>
        <v>45180</v>
      </c>
      <c r="M428" s="10">
        <v>19840</v>
      </c>
      <c r="N428" s="361">
        <f t="shared" si="75"/>
        <v>43.913235945108454</v>
      </c>
      <c r="O428" s="108">
        <f t="shared" si="71"/>
        <v>45180</v>
      </c>
      <c r="P428" s="108">
        <f t="shared" si="72"/>
        <v>19840</v>
      </c>
      <c r="Q428" s="361">
        <f t="shared" si="73"/>
        <v>43.913235945108454</v>
      </c>
    </row>
    <row r="429" spans="2:17" ht="24" x14ac:dyDescent="0.2">
      <c r="B429" s="18">
        <f t="shared" si="74"/>
        <v>59</v>
      </c>
      <c r="C429" s="67"/>
      <c r="D429" s="67"/>
      <c r="E429" s="67"/>
      <c r="F429" s="106"/>
      <c r="G429" s="106"/>
      <c r="H429" s="353" t="s">
        <v>667</v>
      </c>
      <c r="I429" s="10"/>
      <c r="J429" s="10"/>
      <c r="K429" s="107"/>
      <c r="L429" s="10">
        <f>15000-7700</f>
        <v>7300</v>
      </c>
      <c r="M429" s="10">
        <v>500</v>
      </c>
      <c r="N429" s="361">
        <f t="shared" si="75"/>
        <v>6.8493150684931505</v>
      </c>
      <c r="O429" s="108">
        <f t="shared" si="71"/>
        <v>7300</v>
      </c>
      <c r="P429" s="108">
        <f t="shared" si="72"/>
        <v>500</v>
      </c>
      <c r="Q429" s="361">
        <f t="shared" si="73"/>
        <v>6.8493150684931505</v>
      </c>
    </row>
    <row r="430" spans="2:17" ht="12.75" customHeight="1" x14ac:dyDescent="0.2">
      <c r="B430" s="18">
        <f t="shared" si="74"/>
        <v>60</v>
      </c>
      <c r="C430" s="67"/>
      <c r="D430" s="67"/>
      <c r="E430" s="67"/>
      <c r="F430" s="106"/>
      <c r="G430" s="106"/>
      <c r="H430" s="9" t="s">
        <v>520</v>
      </c>
      <c r="I430" s="10"/>
      <c r="J430" s="10"/>
      <c r="K430" s="107"/>
      <c r="L430" s="10">
        <v>15000</v>
      </c>
      <c r="M430" s="10">
        <v>500</v>
      </c>
      <c r="N430" s="361">
        <f t="shared" si="75"/>
        <v>3.3333333333333335</v>
      </c>
      <c r="O430" s="108">
        <f t="shared" si="71"/>
        <v>15000</v>
      </c>
      <c r="P430" s="108">
        <f t="shared" si="72"/>
        <v>500</v>
      </c>
      <c r="Q430" s="361">
        <f t="shared" si="73"/>
        <v>3.3333333333333335</v>
      </c>
    </row>
    <row r="431" spans="2:17" x14ac:dyDescent="0.2">
      <c r="B431" s="18">
        <f t="shared" si="74"/>
        <v>61</v>
      </c>
      <c r="C431" s="67"/>
      <c r="D431" s="67"/>
      <c r="E431" s="67"/>
      <c r="F431" s="106"/>
      <c r="G431" s="106"/>
      <c r="H431" s="9" t="s">
        <v>521</v>
      </c>
      <c r="I431" s="10"/>
      <c r="J431" s="10"/>
      <c r="K431" s="107"/>
      <c r="L431" s="10">
        <v>8000</v>
      </c>
      <c r="M431" s="10">
        <v>0</v>
      </c>
      <c r="N431" s="361">
        <f t="shared" si="75"/>
        <v>0</v>
      </c>
      <c r="O431" s="108">
        <f t="shared" si="71"/>
        <v>8000</v>
      </c>
      <c r="P431" s="108">
        <f t="shared" si="72"/>
        <v>0</v>
      </c>
      <c r="Q431" s="361">
        <f t="shared" si="73"/>
        <v>0</v>
      </c>
    </row>
    <row r="432" spans="2:17" x14ac:dyDescent="0.2">
      <c r="B432" s="18">
        <f t="shared" si="74"/>
        <v>62</v>
      </c>
      <c r="C432" s="67"/>
      <c r="D432" s="67"/>
      <c r="E432" s="67"/>
      <c r="F432" s="106"/>
      <c r="G432" s="106"/>
      <c r="H432" s="9" t="s">
        <v>522</v>
      </c>
      <c r="I432" s="10"/>
      <c r="J432" s="10"/>
      <c r="K432" s="107"/>
      <c r="L432" s="10">
        <v>10000</v>
      </c>
      <c r="M432" s="10">
        <v>300</v>
      </c>
      <c r="N432" s="361">
        <f t="shared" si="75"/>
        <v>3</v>
      </c>
      <c r="O432" s="108">
        <f t="shared" si="71"/>
        <v>10000</v>
      </c>
      <c r="P432" s="108">
        <f t="shared" si="72"/>
        <v>300</v>
      </c>
      <c r="Q432" s="361">
        <f t="shared" si="73"/>
        <v>3</v>
      </c>
    </row>
    <row r="433" spans="2:17" x14ac:dyDescent="0.2">
      <c r="B433" s="18">
        <f t="shared" si="74"/>
        <v>63</v>
      </c>
      <c r="C433" s="67"/>
      <c r="D433" s="67"/>
      <c r="E433" s="67"/>
      <c r="F433" s="106"/>
      <c r="G433" s="106"/>
      <c r="H433" s="9" t="s">
        <v>620</v>
      </c>
      <c r="I433" s="10"/>
      <c r="J433" s="10"/>
      <c r="K433" s="107"/>
      <c r="L433" s="10">
        <v>30000</v>
      </c>
      <c r="M433" s="10">
        <v>528</v>
      </c>
      <c r="N433" s="361">
        <f t="shared" si="75"/>
        <v>1.76</v>
      </c>
      <c r="O433" s="108">
        <f t="shared" si="71"/>
        <v>30000</v>
      </c>
      <c r="P433" s="108">
        <f t="shared" si="72"/>
        <v>528</v>
      </c>
      <c r="Q433" s="361">
        <f t="shared" si="73"/>
        <v>1.76</v>
      </c>
    </row>
    <row r="434" spans="2:17" x14ac:dyDescent="0.2">
      <c r="B434" s="18">
        <f t="shared" si="74"/>
        <v>64</v>
      </c>
      <c r="C434" s="67"/>
      <c r="D434" s="67"/>
      <c r="E434" s="67"/>
      <c r="F434" s="106"/>
      <c r="G434" s="106"/>
      <c r="H434" s="9" t="s">
        <v>539</v>
      </c>
      <c r="I434" s="10"/>
      <c r="J434" s="10"/>
      <c r="K434" s="107"/>
      <c r="L434" s="10">
        <v>10000</v>
      </c>
      <c r="M434" s="10">
        <v>650</v>
      </c>
      <c r="N434" s="361">
        <f t="shared" si="75"/>
        <v>6.5</v>
      </c>
      <c r="O434" s="108">
        <f t="shared" si="71"/>
        <v>10000</v>
      </c>
      <c r="P434" s="108">
        <f t="shared" si="72"/>
        <v>650</v>
      </c>
      <c r="Q434" s="361">
        <f t="shared" si="73"/>
        <v>6.5</v>
      </c>
    </row>
    <row r="435" spans="2:17" x14ac:dyDescent="0.2">
      <c r="B435" s="18">
        <f t="shared" si="74"/>
        <v>65</v>
      </c>
      <c r="C435" s="67"/>
      <c r="D435" s="67"/>
      <c r="E435" s="67"/>
      <c r="F435" s="106"/>
      <c r="G435" s="106"/>
      <c r="H435" s="9" t="s">
        <v>549</v>
      </c>
      <c r="I435" s="10"/>
      <c r="J435" s="10"/>
      <c r="K435" s="107"/>
      <c r="L435" s="10">
        <v>500</v>
      </c>
      <c r="M435" s="10">
        <v>0</v>
      </c>
      <c r="N435" s="361">
        <f t="shared" si="75"/>
        <v>0</v>
      </c>
      <c r="O435" s="108">
        <f t="shared" ref="O435:O466" si="76">I435+L435</f>
        <v>500</v>
      </c>
      <c r="P435" s="108">
        <f t="shared" ref="P435:P466" si="77">J435+M435</f>
        <v>0</v>
      </c>
      <c r="Q435" s="361">
        <f t="shared" ref="Q435:Q466" si="78">P435/O435*100</f>
        <v>0</v>
      </c>
    </row>
    <row r="436" spans="2:17" x14ac:dyDescent="0.2">
      <c r="B436" s="18">
        <f t="shared" ref="B436:B467" si="79">B435+1</f>
        <v>66</v>
      </c>
      <c r="C436" s="67"/>
      <c r="D436" s="67"/>
      <c r="E436" s="67"/>
      <c r="F436" s="106"/>
      <c r="G436" s="106"/>
      <c r="H436" s="9" t="s">
        <v>432</v>
      </c>
      <c r="I436" s="10"/>
      <c r="J436" s="10"/>
      <c r="K436" s="107"/>
      <c r="L436" s="10">
        <f>5000+3000</f>
        <v>8000</v>
      </c>
      <c r="M436" s="10">
        <v>0</v>
      </c>
      <c r="N436" s="361">
        <f t="shared" si="75"/>
        <v>0</v>
      </c>
      <c r="O436" s="108">
        <f t="shared" si="76"/>
        <v>8000</v>
      </c>
      <c r="P436" s="108">
        <f t="shared" si="77"/>
        <v>0</v>
      </c>
      <c r="Q436" s="361">
        <f t="shared" si="78"/>
        <v>0</v>
      </c>
    </row>
    <row r="437" spans="2:17" x14ac:dyDescent="0.2">
      <c r="B437" s="18">
        <f t="shared" si="79"/>
        <v>67</v>
      </c>
      <c r="C437" s="67"/>
      <c r="D437" s="67"/>
      <c r="E437" s="67"/>
      <c r="F437" s="106"/>
      <c r="G437" s="106"/>
      <c r="H437" s="9" t="s">
        <v>433</v>
      </c>
      <c r="I437" s="10"/>
      <c r="J437" s="10"/>
      <c r="K437" s="107"/>
      <c r="L437" s="10">
        <v>5000</v>
      </c>
      <c r="M437" s="10">
        <v>0</v>
      </c>
      <c r="N437" s="361">
        <f t="shared" si="75"/>
        <v>0</v>
      </c>
      <c r="O437" s="108">
        <f t="shared" si="76"/>
        <v>5000</v>
      </c>
      <c r="P437" s="108">
        <f t="shared" si="77"/>
        <v>0</v>
      </c>
      <c r="Q437" s="361">
        <f t="shared" si="78"/>
        <v>0</v>
      </c>
    </row>
    <row r="438" spans="2:17" x14ac:dyDescent="0.2">
      <c r="B438" s="18">
        <f t="shared" si="79"/>
        <v>68</v>
      </c>
      <c r="C438" s="67"/>
      <c r="D438" s="67"/>
      <c r="E438" s="67"/>
      <c r="F438" s="106"/>
      <c r="G438" s="106"/>
      <c r="H438" s="9" t="s">
        <v>434</v>
      </c>
      <c r="I438" s="10"/>
      <c r="J438" s="10"/>
      <c r="K438" s="107"/>
      <c r="L438" s="10">
        <f>5000+3000</f>
        <v>8000</v>
      </c>
      <c r="M438" s="10">
        <v>0</v>
      </c>
      <c r="N438" s="361">
        <f t="shared" si="75"/>
        <v>0</v>
      </c>
      <c r="O438" s="108">
        <f t="shared" si="76"/>
        <v>8000</v>
      </c>
      <c r="P438" s="108">
        <f t="shared" si="77"/>
        <v>0</v>
      </c>
      <c r="Q438" s="361">
        <f t="shared" si="78"/>
        <v>0</v>
      </c>
    </row>
    <row r="439" spans="2:17" x14ac:dyDescent="0.2">
      <c r="B439" s="18">
        <f t="shared" si="79"/>
        <v>69</v>
      </c>
      <c r="C439" s="67"/>
      <c r="D439" s="67"/>
      <c r="E439" s="67"/>
      <c r="F439" s="106"/>
      <c r="G439" s="106"/>
      <c r="H439" s="9" t="s">
        <v>435</v>
      </c>
      <c r="I439" s="10"/>
      <c r="J439" s="10"/>
      <c r="K439" s="107"/>
      <c r="L439" s="10">
        <f>5000+3000</f>
        <v>8000</v>
      </c>
      <c r="M439" s="10">
        <v>0</v>
      </c>
      <c r="N439" s="361">
        <f t="shared" si="75"/>
        <v>0</v>
      </c>
      <c r="O439" s="108">
        <f t="shared" si="76"/>
        <v>8000</v>
      </c>
      <c r="P439" s="108">
        <f t="shared" si="77"/>
        <v>0</v>
      </c>
      <c r="Q439" s="361">
        <f t="shared" si="78"/>
        <v>0</v>
      </c>
    </row>
    <row r="440" spans="2:17" x14ac:dyDescent="0.2">
      <c r="B440" s="18">
        <f t="shared" si="79"/>
        <v>70</v>
      </c>
      <c r="C440" s="67"/>
      <c r="D440" s="67"/>
      <c r="E440" s="67"/>
      <c r="F440" s="106"/>
      <c r="G440" s="106"/>
      <c r="H440" s="9" t="s">
        <v>392</v>
      </c>
      <c r="I440" s="10"/>
      <c r="J440" s="10"/>
      <c r="K440" s="107"/>
      <c r="L440" s="10">
        <v>5000</v>
      </c>
      <c r="M440" s="10">
        <v>4260</v>
      </c>
      <c r="N440" s="361">
        <f t="shared" ref="N440:N471" si="80">M440/L440*100</f>
        <v>85.2</v>
      </c>
      <c r="O440" s="108">
        <f t="shared" si="76"/>
        <v>5000</v>
      </c>
      <c r="P440" s="108">
        <f t="shared" si="77"/>
        <v>4260</v>
      </c>
      <c r="Q440" s="361">
        <f t="shared" si="78"/>
        <v>85.2</v>
      </c>
    </row>
    <row r="441" spans="2:17" x14ac:dyDescent="0.2">
      <c r="B441" s="18">
        <f t="shared" si="79"/>
        <v>71</v>
      </c>
      <c r="C441" s="67"/>
      <c r="D441" s="67"/>
      <c r="E441" s="67"/>
      <c r="F441" s="106"/>
      <c r="G441" s="106"/>
      <c r="H441" s="9" t="s">
        <v>463</v>
      </c>
      <c r="I441" s="10"/>
      <c r="J441" s="10"/>
      <c r="K441" s="107"/>
      <c r="L441" s="10">
        <f>20000-1000-7600</f>
        <v>11400</v>
      </c>
      <c r="M441" s="10">
        <v>5731</v>
      </c>
      <c r="N441" s="361">
        <f t="shared" si="80"/>
        <v>50.271929824561404</v>
      </c>
      <c r="O441" s="108">
        <f t="shared" si="76"/>
        <v>11400</v>
      </c>
      <c r="P441" s="108">
        <f t="shared" si="77"/>
        <v>5731</v>
      </c>
      <c r="Q441" s="361">
        <f t="shared" si="78"/>
        <v>50.271929824561404</v>
      </c>
    </row>
    <row r="442" spans="2:17" x14ac:dyDescent="0.2">
      <c r="B442" s="18">
        <f t="shared" si="79"/>
        <v>72</v>
      </c>
      <c r="C442" s="67"/>
      <c r="D442" s="67"/>
      <c r="E442" s="67"/>
      <c r="F442" s="106"/>
      <c r="G442" s="106"/>
      <c r="H442" s="9" t="s">
        <v>655</v>
      </c>
      <c r="I442" s="10"/>
      <c r="J442" s="10"/>
      <c r="K442" s="107"/>
      <c r="L442" s="10">
        <v>8000</v>
      </c>
      <c r="M442" s="10">
        <v>2006</v>
      </c>
      <c r="N442" s="361">
        <f t="shared" si="80"/>
        <v>25.074999999999996</v>
      </c>
      <c r="O442" s="108">
        <f t="shared" si="76"/>
        <v>8000</v>
      </c>
      <c r="P442" s="108">
        <f t="shared" si="77"/>
        <v>2006</v>
      </c>
      <c r="Q442" s="361">
        <f t="shared" si="78"/>
        <v>25.074999999999996</v>
      </c>
    </row>
    <row r="443" spans="2:17" x14ac:dyDescent="0.2">
      <c r="B443" s="18">
        <f t="shared" si="79"/>
        <v>73</v>
      </c>
      <c r="C443" s="67"/>
      <c r="D443" s="67"/>
      <c r="E443" s="67"/>
      <c r="F443" s="106"/>
      <c r="G443" s="106"/>
      <c r="H443" s="9" t="s">
        <v>406</v>
      </c>
      <c r="I443" s="10"/>
      <c r="J443" s="10"/>
      <c r="K443" s="107"/>
      <c r="L443" s="10">
        <v>5000</v>
      </c>
      <c r="M443" s="10">
        <v>3861</v>
      </c>
      <c r="N443" s="361">
        <f t="shared" si="80"/>
        <v>77.22</v>
      </c>
      <c r="O443" s="108">
        <f t="shared" si="76"/>
        <v>5000</v>
      </c>
      <c r="P443" s="108">
        <f t="shared" si="77"/>
        <v>3861</v>
      </c>
      <c r="Q443" s="361">
        <f t="shared" si="78"/>
        <v>77.22</v>
      </c>
    </row>
    <row r="444" spans="2:17" x14ac:dyDescent="0.2">
      <c r="B444" s="18">
        <f t="shared" si="79"/>
        <v>74</v>
      </c>
      <c r="C444" s="67"/>
      <c r="D444" s="67"/>
      <c r="E444" s="67"/>
      <c r="F444" s="106"/>
      <c r="G444" s="106"/>
      <c r="H444" s="9" t="s">
        <v>436</v>
      </c>
      <c r="I444" s="10"/>
      <c r="J444" s="10"/>
      <c r="K444" s="107"/>
      <c r="L444" s="10">
        <v>15000</v>
      </c>
      <c r="M444" s="10">
        <v>4973</v>
      </c>
      <c r="N444" s="361">
        <f t="shared" si="80"/>
        <v>33.153333333333336</v>
      </c>
      <c r="O444" s="108">
        <f t="shared" si="76"/>
        <v>15000</v>
      </c>
      <c r="P444" s="108">
        <f t="shared" si="77"/>
        <v>4973</v>
      </c>
      <c r="Q444" s="361">
        <f t="shared" si="78"/>
        <v>33.153333333333336</v>
      </c>
    </row>
    <row r="445" spans="2:17" x14ac:dyDescent="0.2">
      <c r="B445" s="18">
        <f t="shared" si="79"/>
        <v>75</v>
      </c>
      <c r="C445" s="67"/>
      <c r="D445" s="67"/>
      <c r="E445" s="67"/>
      <c r="F445" s="106"/>
      <c r="G445" s="106"/>
      <c r="H445" s="9" t="s">
        <v>277</v>
      </c>
      <c r="I445" s="10"/>
      <c r="J445" s="10"/>
      <c r="K445" s="107"/>
      <c r="L445" s="10">
        <v>4600</v>
      </c>
      <c r="M445" s="10">
        <v>0</v>
      </c>
      <c r="N445" s="361">
        <f t="shared" si="80"/>
        <v>0</v>
      </c>
      <c r="O445" s="108">
        <f t="shared" si="76"/>
        <v>4600</v>
      </c>
      <c r="P445" s="108">
        <f t="shared" si="77"/>
        <v>0</v>
      </c>
      <c r="Q445" s="361">
        <f t="shared" si="78"/>
        <v>0</v>
      </c>
    </row>
    <row r="446" spans="2:17" x14ac:dyDescent="0.2">
      <c r="B446" s="18">
        <f t="shared" si="79"/>
        <v>76</v>
      </c>
      <c r="C446" s="67"/>
      <c r="D446" s="67"/>
      <c r="E446" s="67"/>
      <c r="F446" s="106"/>
      <c r="G446" s="106"/>
      <c r="H446" s="9" t="s">
        <v>278</v>
      </c>
      <c r="I446" s="10"/>
      <c r="J446" s="10"/>
      <c r="K446" s="107"/>
      <c r="L446" s="10">
        <v>12500</v>
      </c>
      <c r="M446" s="10">
        <v>0</v>
      </c>
      <c r="N446" s="361">
        <f t="shared" si="80"/>
        <v>0</v>
      </c>
      <c r="O446" s="108">
        <f t="shared" si="76"/>
        <v>12500</v>
      </c>
      <c r="P446" s="108">
        <f t="shared" si="77"/>
        <v>0</v>
      </c>
      <c r="Q446" s="361">
        <f t="shared" si="78"/>
        <v>0</v>
      </c>
    </row>
    <row r="447" spans="2:17" x14ac:dyDescent="0.2">
      <c r="B447" s="18">
        <f t="shared" si="79"/>
        <v>77</v>
      </c>
      <c r="C447" s="67"/>
      <c r="D447" s="67"/>
      <c r="E447" s="67"/>
      <c r="F447" s="106"/>
      <c r="G447" s="106"/>
      <c r="H447" s="9" t="s">
        <v>437</v>
      </c>
      <c r="I447" s="10"/>
      <c r="J447" s="10"/>
      <c r="K447" s="107"/>
      <c r="L447" s="10">
        <v>10900</v>
      </c>
      <c r="M447" s="10">
        <v>0</v>
      </c>
      <c r="N447" s="361">
        <f t="shared" si="80"/>
        <v>0</v>
      </c>
      <c r="O447" s="108">
        <f t="shared" si="76"/>
        <v>10900</v>
      </c>
      <c r="P447" s="108">
        <f t="shared" si="77"/>
        <v>0</v>
      </c>
      <c r="Q447" s="361">
        <f t="shared" si="78"/>
        <v>0</v>
      </c>
    </row>
    <row r="448" spans="2:17" x14ac:dyDescent="0.2">
      <c r="B448" s="18">
        <f t="shared" si="79"/>
        <v>78</v>
      </c>
      <c r="C448" s="67"/>
      <c r="D448" s="67"/>
      <c r="E448" s="67"/>
      <c r="F448" s="106"/>
      <c r="G448" s="106"/>
      <c r="H448" s="9" t="s">
        <v>295</v>
      </c>
      <c r="I448" s="10"/>
      <c r="J448" s="10"/>
      <c r="K448" s="107"/>
      <c r="L448" s="10">
        <v>8000</v>
      </c>
      <c r="M448" s="10">
        <v>0</v>
      </c>
      <c r="N448" s="361">
        <f t="shared" si="80"/>
        <v>0</v>
      </c>
      <c r="O448" s="108">
        <f t="shared" si="76"/>
        <v>8000</v>
      </c>
      <c r="P448" s="108">
        <f t="shared" si="77"/>
        <v>0</v>
      </c>
      <c r="Q448" s="361">
        <f t="shared" si="78"/>
        <v>0</v>
      </c>
    </row>
    <row r="449" spans="2:17" x14ac:dyDescent="0.2">
      <c r="B449" s="18">
        <f t="shared" si="79"/>
        <v>79</v>
      </c>
      <c r="C449" s="67"/>
      <c r="D449" s="67"/>
      <c r="E449" s="67"/>
      <c r="F449" s="106"/>
      <c r="G449" s="106"/>
      <c r="H449" s="9" t="s">
        <v>503</v>
      </c>
      <c r="I449" s="10"/>
      <c r="J449" s="10"/>
      <c r="K449" s="107"/>
      <c r="L449" s="10">
        <v>3000</v>
      </c>
      <c r="M449" s="10">
        <v>500</v>
      </c>
      <c r="N449" s="361">
        <f t="shared" si="80"/>
        <v>16.666666666666664</v>
      </c>
      <c r="O449" s="108">
        <f t="shared" si="76"/>
        <v>3000</v>
      </c>
      <c r="P449" s="108">
        <f t="shared" si="77"/>
        <v>500</v>
      </c>
      <c r="Q449" s="361">
        <f t="shared" si="78"/>
        <v>16.666666666666664</v>
      </c>
    </row>
    <row r="450" spans="2:17" x14ac:dyDescent="0.2">
      <c r="B450" s="18">
        <f t="shared" si="79"/>
        <v>80</v>
      </c>
      <c r="C450" s="67"/>
      <c r="D450" s="67"/>
      <c r="E450" s="67"/>
      <c r="F450" s="106"/>
      <c r="G450" s="106"/>
      <c r="H450" s="9" t="s">
        <v>293</v>
      </c>
      <c r="I450" s="10"/>
      <c r="J450" s="10"/>
      <c r="K450" s="107"/>
      <c r="L450" s="10">
        <v>30000</v>
      </c>
      <c r="M450" s="10">
        <v>3433</v>
      </c>
      <c r="N450" s="361">
        <f t="shared" si="80"/>
        <v>11.443333333333333</v>
      </c>
      <c r="O450" s="108">
        <f t="shared" si="76"/>
        <v>30000</v>
      </c>
      <c r="P450" s="108">
        <f t="shared" si="77"/>
        <v>3433</v>
      </c>
      <c r="Q450" s="361">
        <f t="shared" si="78"/>
        <v>11.443333333333333</v>
      </c>
    </row>
    <row r="451" spans="2:17" x14ac:dyDescent="0.2">
      <c r="B451" s="18">
        <f t="shared" si="79"/>
        <v>81</v>
      </c>
      <c r="C451" s="67"/>
      <c r="D451" s="67"/>
      <c r="E451" s="67"/>
      <c r="F451" s="106"/>
      <c r="G451" s="106"/>
      <c r="H451" s="9" t="s">
        <v>294</v>
      </c>
      <c r="I451" s="10"/>
      <c r="J451" s="10"/>
      <c r="K451" s="107"/>
      <c r="L451" s="10">
        <v>35964</v>
      </c>
      <c r="M451" s="10">
        <v>896</v>
      </c>
      <c r="N451" s="361">
        <f t="shared" si="80"/>
        <v>2.4913802691580469</v>
      </c>
      <c r="O451" s="108">
        <f t="shared" si="76"/>
        <v>35964</v>
      </c>
      <c r="P451" s="108">
        <f t="shared" si="77"/>
        <v>896</v>
      </c>
      <c r="Q451" s="361">
        <f t="shared" si="78"/>
        <v>2.4913802691580469</v>
      </c>
    </row>
    <row r="452" spans="2:17" x14ac:dyDescent="0.2">
      <c r="B452" s="18">
        <f t="shared" si="79"/>
        <v>82</v>
      </c>
      <c r="C452" s="180"/>
      <c r="D452" s="180"/>
      <c r="E452" s="180"/>
      <c r="F452" s="181"/>
      <c r="G452" s="182">
        <v>717</v>
      </c>
      <c r="H452" s="180" t="s">
        <v>182</v>
      </c>
      <c r="I452" s="183"/>
      <c r="J452" s="183"/>
      <c r="K452" s="94"/>
      <c r="L452" s="183">
        <f>SUM(L453:L484)</f>
        <v>2354809</v>
      </c>
      <c r="M452" s="183">
        <f>SUM(M453:M484)</f>
        <v>1624714</v>
      </c>
      <c r="N452" s="361">
        <f t="shared" si="80"/>
        <v>68.995574588002683</v>
      </c>
      <c r="O452" s="184">
        <f t="shared" si="76"/>
        <v>2354809</v>
      </c>
      <c r="P452" s="184">
        <f t="shared" si="77"/>
        <v>1624714</v>
      </c>
      <c r="Q452" s="361">
        <f t="shared" si="78"/>
        <v>68.995574588002683</v>
      </c>
    </row>
    <row r="453" spans="2:17" x14ac:dyDescent="0.2">
      <c r="B453" s="18">
        <f t="shared" si="79"/>
        <v>83</v>
      </c>
      <c r="C453" s="67"/>
      <c r="D453" s="67"/>
      <c r="E453" s="67"/>
      <c r="F453" s="106"/>
      <c r="G453" s="106"/>
      <c r="H453" s="9" t="s">
        <v>621</v>
      </c>
      <c r="I453" s="10"/>
      <c r="J453" s="10"/>
      <c r="K453" s="107"/>
      <c r="L453" s="10">
        <v>60000</v>
      </c>
      <c r="M453" s="10">
        <v>0</v>
      </c>
      <c r="N453" s="361">
        <f t="shared" si="80"/>
        <v>0</v>
      </c>
      <c r="O453" s="108">
        <f t="shared" si="76"/>
        <v>60000</v>
      </c>
      <c r="P453" s="108">
        <f t="shared" si="77"/>
        <v>0</v>
      </c>
      <c r="Q453" s="361">
        <f t="shared" si="78"/>
        <v>0</v>
      </c>
    </row>
    <row r="454" spans="2:17" x14ac:dyDescent="0.2">
      <c r="B454" s="18">
        <f t="shared" si="79"/>
        <v>84</v>
      </c>
      <c r="C454" s="67"/>
      <c r="D454" s="67"/>
      <c r="E454" s="67"/>
      <c r="F454" s="106"/>
      <c r="G454" s="106"/>
      <c r="H454" s="9" t="s">
        <v>523</v>
      </c>
      <c r="I454" s="10"/>
      <c r="J454" s="10"/>
      <c r="K454" s="107"/>
      <c r="L454" s="10">
        <v>8000</v>
      </c>
      <c r="M454" s="10">
        <v>2570</v>
      </c>
      <c r="N454" s="361">
        <f t="shared" si="80"/>
        <v>32.125</v>
      </c>
      <c r="O454" s="108">
        <f t="shared" si="76"/>
        <v>8000</v>
      </c>
      <c r="P454" s="108">
        <f t="shared" si="77"/>
        <v>2570</v>
      </c>
      <c r="Q454" s="361">
        <f t="shared" si="78"/>
        <v>32.125</v>
      </c>
    </row>
    <row r="455" spans="2:17" x14ac:dyDescent="0.2">
      <c r="B455" s="18">
        <f t="shared" si="79"/>
        <v>85</v>
      </c>
      <c r="C455" s="67"/>
      <c r="D455" s="67"/>
      <c r="E455" s="67"/>
      <c r="F455" s="106"/>
      <c r="G455" s="106"/>
      <c r="H455" s="9" t="s">
        <v>661</v>
      </c>
      <c r="I455" s="10"/>
      <c r="J455" s="10"/>
      <c r="K455" s="107"/>
      <c r="L455" s="10">
        <v>24000</v>
      </c>
      <c r="M455" s="10">
        <v>22322</v>
      </c>
      <c r="N455" s="361">
        <f t="shared" si="80"/>
        <v>93.00833333333334</v>
      </c>
      <c r="O455" s="108">
        <f t="shared" si="76"/>
        <v>24000</v>
      </c>
      <c r="P455" s="108">
        <f t="shared" si="77"/>
        <v>22322</v>
      </c>
      <c r="Q455" s="361">
        <f t="shared" si="78"/>
        <v>93.00833333333334</v>
      </c>
    </row>
    <row r="456" spans="2:17" x14ac:dyDescent="0.2">
      <c r="B456" s="18">
        <f t="shared" si="79"/>
        <v>86</v>
      </c>
      <c r="C456" s="67"/>
      <c r="D456" s="67"/>
      <c r="E456" s="67"/>
      <c r="F456" s="106"/>
      <c r="G456" s="106"/>
      <c r="H456" s="9" t="s">
        <v>524</v>
      </c>
      <c r="I456" s="10"/>
      <c r="J456" s="10"/>
      <c r="K456" s="107"/>
      <c r="L456" s="10">
        <f>25000-6900</f>
        <v>18100</v>
      </c>
      <c r="M456" s="10">
        <v>17553</v>
      </c>
      <c r="N456" s="361">
        <f t="shared" si="80"/>
        <v>96.97790055248619</v>
      </c>
      <c r="O456" s="108">
        <f t="shared" si="76"/>
        <v>18100</v>
      </c>
      <c r="P456" s="108">
        <f t="shared" si="77"/>
        <v>17553</v>
      </c>
      <c r="Q456" s="361">
        <f t="shared" si="78"/>
        <v>96.97790055248619</v>
      </c>
    </row>
    <row r="457" spans="2:17" x14ac:dyDescent="0.2">
      <c r="B457" s="18">
        <f t="shared" si="79"/>
        <v>87</v>
      </c>
      <c r="C457" s="67"/>
      <c r="D457" s="67"/>
      <c r="E457" s="67"/>
      <c r="F457" s="106"/>
      <c r="G457" s="106"/>
      <c r="H457" s="9" t="s">
        <v>694</v>
      </c>
      <c r="I457" s="10"/>
      <c r="J457" s="10"/>
      <c r="K457" s="107"/>
      <c r="L457" s="10">
        <v>18000</v>
      </c>
      <c r="M457" s="10">
        <v>12711</v>
      </c>
      <c r="N457" s="361">
        <f t="shared" si="80"/>
        <v>70.616666666666674</v>
      </c>
      <c r="O457" s="108">
        <f t="shared" si="76"/>
        <v>18000</v>
      </c>
      <c r="P457" s="108">
        <f t="shared" si="77"/>
        <v>12711</v>
      </c>
      <c r="Q457" s="361">
        <f t="shared" si="78"/>
        <v>70.616666666666674</v>
      </c>
    </row>
    <row r="458" spans="2:17" x14ac:dyDescent="0.2">
      <c r="B458" s="18">
        <f t="shared" si="79"/>
        <v>88</v>
      </c>
      <c r="C458" s="67"/>
      <c r="D458" s="67"/>
      <c r="E458" s="67"/>
      <c r="F458" s="106"/>
      <c r="G458" s="106"/>
      <c r="H458" s="9" t="s">
        <v>534</v>
      </c>
      <c r="I458" s="10"/>
      <c r="J458" s="10"/>
      <c r="K458" s="107"/>
      <c r="L458" s="10">
        <f>190000+136000</f>
        <v>326000</v>
      </c>
      <c r="M458" s="10">
        <v>0</v>
      </c>
      <c r="N458" s="361">
        <f t="shared" si="80"/>
        <v>0</v>
      </c>
      <c r="O458" s="108">
        <f t="shared" si="76"/>
        <v>326000</v>
      </c>
      <c r="P458" s="108">
        <f t="shared" si="77"/>
        <v>0</v>
      </c>
      <c r="Q458" s="361">
        <f t="shared" si="78"/>
        <v>0</v>
      </c>
    </row>
    <row r="459" spans="2:17" x14ac:dyDescent="0.2">
      <c r="B459" s="18">
        <f t="shared" si="79"/>
        <v>89</v>
      </c>
      <c r="C459" s="67"/>
      <c r="D459" s="67"/>
      <c r="E459" s="67"/>
      <c r="F459" s="106"/>
      <c r="G459" s="106"/>
      <c r="H459" s="9" t="s">
        <v>662</v>
      </c>
      <c r="I459" s="10"/>
      <c r="J459" s="10"/>
      <c r="K459" s="107"/>
      <c r="L459" s="10">
        <v>25000</v>
      </c>
      <c r="M459" s="10">
        <v>0</v>
      </c>
      <c r="N459" s="361">
        <f t="shared" si="80"/>
        <v>0</v>
      </c>
      <c r="O459" s="108">
        <f t="shared" si="76"/>
        <v>25000</v>
      </c>
      <c r="P459" s="108">
        <f t="shared" si="77"/>
        <v>0</v>
      </c>
      <c r="Q459" s="361">
        <f t="shared" si="78"/>
        <v>0</v>
      </c>
    </row>
    <row r="460" spans="2:17" x14ac:dyDescent="0.2">
      <c r="B460" s="18">
        <f t="shared" si="79"/>
        <v>90</v>
      </c>
      <c r="C460" s="67"/>
      <c r="D460" s="67"/>
      <c r="E460" s="67"/>
      <c r="F460" s="106"/>
      <c r="G460" s="106"/>
      <c r="H460" s="9" t="s">
        <v>550</v>
      </c>
      <c r="I460" s="10"/>
      <c r="J460" s="10"/>
      <c r="K460" s="107"/>
      <c r="L460" s="10">
        <f>101000-4863-4000</f>
        <v>92137</v>
      </c>
      <c r="M460" s="10">
        <v>82084</v>
      </c>
      <c r="N460" s="361">
        <f t="shared" si="80"/>
        <v>89.089073879114807</v>
      </c>
      <c r="O460" s="108">
        <f t="shared" si="76"/>
        <v>92137</v>
      </c>
      <c r="P460" s="108">
        <f t="shared" si="77"/>
        <v>82084</v>
      </c>
      <c r="Q460" s="361">
        <f t="shared" si="78"/>
        <v>89.089073879114807</v>
      </c>
    </row>
    <row r="461" spans="2:17" x14ac:dyDescent="0.2">
      <c r="B461" s="18">
        <f t="shared" si="79"/>
        <v>91</v>
      </c>
      <c r="C461" s="67"/>
      <c r="D461" s="67"/>
      <c r="E461" s="67"/>
      <c r="F461" s="106"/>
      <c r="G461" s="106"/>
      <c r="H461" s="9" t="s">
        <v>558</v>
      </c>
      <c r="I461" s="10"/>
      <c r="J461" s="10"/>
      <c r="K461" s="107"/>
      <c r="L461" s="10">
        <v>49500</v>
      </c>
      <c r="M461" s="10">
        <v>49495</v>
      </c>
      <c r="N461" s="361">
        <f t="shared" si="80"/>
        <v>99.98989898989899</v>
      </c>
      <c r="O461" s="108">
        <f t="shared" si="76"/>
        <v>49500</v>
      </c>
      <c r="P461" s="108">
        <f t="shared" si="77"/>
        <v>49495</v>
      </c>
      <c r="Q461" s="361">
        <f t="shared" si="78"/>
        <v>99.98989898989899</v>
      </c>
    </row>
    <row r="462" spans="2:17" x14ac:dyDescent="0.2">
      <c r="B462" s="18">
        <f t="shared" si="79"/>
        <v>92</v>
      </c>
      <c r="C462" s="67"/>
      <c r="D462" s="67"/>
      <c r="E462" s="67"/>
      <c r="F462" s="106"/>
      <c r="G462" s="106"/>
      <c r="H462" s="9" t="s">
        <v>622</v>
      </c>
      <c r="I462" s="10"/>
      <c r="J462" s="10"/>
      <c r="K462" s="107"/>
      <c r="L462" s="10">
        <f>260000-800-59000-10800+4000</f>
        <v>193400</v>
      </c>
      <c r="M462" s="10">
        <v>193324</v>
      </c>
      <c r="N462" s="361">
        <f t="shared" si="80"/>
        <v>99.960703205791106</v>
      </c>
      <c r="O462" s="108">
        <f t="shared" si="76"/>
        <v>193400</v>
      </c>
      <c r="P462" s="108">
        <f t="shared" si="77"/>
        <v>193324</v>
      </c>
      <c r="Q462" s="361">
        <f t="shared" si="78"/>
        <v>99.960703205791106</v>
      </c>
    </row>
    <row r="463" spans="2:17" x14ac:dyDescent="0.2">
      <c r="B463" s="18">
        <f t="shared" si="79"/>
        <v>93</v>
      </c>
      <c r="C463" s="67"/>
      <c r="D463" s="67"/>
      <c r="E463" s="67"/>
      <c r="F463" s="106"/>
      <c r="G463" s="106"/>
      <c r="H463" s="9" t="s">
        <v>454</v>
      </c>
      <c r="I463" s="10"/>
      <c r="J463" s="10"/>
      <c r="K463" s="107"/>
      <c r="L463" s="10">
        <f>82000-3110-10300-500-1700-4000</f>
        <v>62390</v>
      </c>
      <c r="M463" s="10">
        <v>57079</v>
      </c>
      <c r="N463" s="361">
        <f t="shared" si="80"/>
        <v>91.487417855425548</v>
      </c>
      <c r="O463" s="108">
        <f t="shared" si="76"/>
        <v>62390</v>
      </c>
      <c r="P463" s="108">
        <f t="shared" si="77"/>
        <v>57079</v>
      </c>
      <c r="Q463" s="361">
        <f t="shared" si="78"/>
        <v>91.487417855425548</v>
      </c>
    </row>
    <row r="464" spans="2:17" x14ac:dyDescent="0.2">
      <c r="B464" s="18">
        <f t="shared" si="79"/>
        <v>94</v>
      </c>
      <c r="C464" s="67"/>
      <c r="D464" s="67"/>
      <c r="E464" s="67"/>
      <c r="F464" s="106"/>
      <c r="G464" s="106"/>
      <c r="H464" s="9" t="s">
        <v>533</v>
      </c>
      <c r="I464" s="10"/>
      <c r="J464" s="10"/>
      <c r="K464" s="107"/>
      <c r="L464" s="10">
        <f>14000-14000+19000</f>
        <v>19000</v>
      </c>
      <c r="M464" s="10">
        <v>13822</v>
      </c>
      <c r="N464" s="361">
        <f t="shared" si="80"/>
        <v>72.747368421052627</v>
      </c>
      <c r="O464" s="108">
        <f t="shared" si="76"/>
        <v>19000</v>
      </c>
      <c r="P464" s="108">
        <f t="shared" si="77"/>
        <v>13822</v>
      </c>
      <c r="Q464" s="361">
        <f t="shared" si="78"/>
        <v>72.747368421052627</v>
      </c>
    </row>
    <row r="465" spans="2:17" x14ac:dyDescent="0.2">
      <c r="B465" s="18">
        <f t="shared" si="79"/>
        <v>95</v>
      </c>
      <c r="C465" s="67"/>
      <c r="D465" s="67"/>
      <c r="E465" s="67"/>
      <c r="F465" s="106"/>
      <c r="G465" s="106"/>
      <c r="H465" s="9" t="s">
        <v>623</v>
      </c>
      <c r="I465" s="10"/>
      <c r="J465" s="10"/>
      <c r="K465" s="107"/>
      <c r="L465" s="10">
        <v>230000</v>
      </c>
      <c r="M465" s="10">
        <v>101256</v>
      </c>
      <c r="N465" s="361">
        <f t="shared" si="80"/>
        <v>44.024347826086959</v>
      </c>
      <c r="O465" s="108">
        <f t="shared" si="76"/>
        <v>230000</v>
      </c>
      <c r="P465" s="108">
        <f t="shared" si="77"/>
        <v>101256</v>
      </c>
      <c r="Q465" s="361">
        <f t="shared" si="78"/>
        <v>44.024347826086959</v>
      </c>
    </row>
    <row r="466" spans="2:17" x14ac:dyDescent="0.2">
      <c r="B466" s="18">
        <f t="shared" si="79"/>
        <v>96</v>
      </c>
      <c r="C466" s="67"/>
      <c r="D466" s="67"/>
      <c r="E466" s="67"/>
      <c r="F466" s="106"/>
      <c r="G466" s="106"/>
      <c r="H466" s="9" t="s">
        <v>702</v>
      </c>
      <c r="I466" s="10"/>
      <c r="J466" s="10"/>
      <c r="K466" s="107"/>
      <c r="L466" s="10">
        <v>194000</v>
      </c>
      <c r="M466" s="10">
        <v>175350</v>
      </c>
      <c r="N466" s="361">
        <f t="shared" si="80"/>
        <v>90.386597938144334</v>
      </c>
      <c r="O466" s="108">
        <f t="shared" si="76"/>
        <v>194000</v>
      </c>
      <c r="P466" s="108">
        <f t="shared" si="77"/>
        <v>175350</v>
      </c>
      <c r="Q466" s="361">
        <f t="shared" si="78"/>
        <v>90.386597938144334</v>
      </c>
    </row>
    <row r="467" spans="2:17" x14ac:dyDescent="0.2">
      <c r="B467" s="18">
        <f t="shared" si="79"/>
        <v>97</v>
      </c>
      <c r="C467" s="67"/>
      <c r="D467" s="67"/>
      <c r="E467" s="67"/>
      <c r="F467" s="106"/>
      <c r="G467" s="106"/>
      <c r="H467" s="9" t="s">
        <v>701</v>
      </c>
      <c r="I467" s="10"/>
      <c r="J467" s="10"/>
      <c r="K467" s="107"/>
      <c r="L467" s="10">
        <v>59000</v>
      </c>
      <c r="M467" s="10">
        <v>43414</v>
      </c>
      <c r="N467" s="361">
        <f t="shared" si="80"/>
        <v>73.583050847457628</v>
      </c>
      <c r="O467" s="108">
        <f t="shared" ref="O467:O486" si="81">I467+L467</f>
        <v>59000</v>
      </c>
      <c r="P467" s="108">
        <f t="shared" ref="P467:P486" si="82">J467+M467</f>
        <v>43414</v>
      </c>
      <c r="Q467" s="361">
        <f t="shared" ref="Q467:Q486" si="83">P467/O467*100</f>
        <v>73.583050847457628</v>
      </c>
    </row>
    <row r="468" spans="2:17" x14ac:dyDescent="0.2">
      <c r="B468" s="18">
        <f t="shared" ref="B468:B486" si="84">B467+1</f>
        <v>98</v>
      </c>
      <c r="C468" s="67"/>
      <c r="D468" s="67"/>
      <c r="E468" s="67"/>
      <c r="F468" s="106"/>
      <c r="G468" s="106"/>
      <c r="H468" s="9" t="s">
        <v>298</v>
      </c>
      <c r="I468" s="10"/>
      <c r="J468" s="10"/>
      <c r="K468" s="107"/>
      <c r="L468" s="10">
        <f>12500+1500</f>
        <v>14000</v>
      </c>
      <c r="M468" s="10">
        <v>0</v>
      </c>
      <c r="N468" s="361">
        <f t="shared" si="80"/>
        <v>0</v>
      </c>
      <c r="O468" s="108">
        <f t="shared" si="81"/>
        <v>14000</v>
      </c>
      <c r="P468" s="108">
        <f t="shared" si="82"/>
        <v>0</v>
      </c>
      <c r="Q468" s="361">
        <f t="shared" si="83"/>
        <v>0</v>
      </c>
    </row>
    <row r="469" spans="2:17" s="122" customFormat="1" x14ac:dyDescent="0.2">
      <c r="B469" s="18">
        <f t="shared" si="84"/>
        <v>99</v>
      </c>
      <c r="C469" s="67"/>
      <c r="D469" s="67"/>
      <c r="E469" s="67"/>
      <c r="F469" s="106"/>
      <c r="G469" s="106"/>
      <c r="H469" s="9" t="s">
        <v>396</v>
      </c>
      <c r="I469" s="10"/>
      <c r="J469" s="10"/>
      <c r="K469" s="107"/>
      <c r="L469" s="10">
        <v>25000</v>
      </c>
      <c r="M469" s="10">
        <v>0</v>
      </c>
      <c r="N469" s="361">
        <f t="shared" si="80"/>
        <v>0</v>
      </c>
      <c r="O469" s="108">
        <f t="shared" si="81"/>
        <v>25000</v>
      </c>
      <c r="P469" s="108">
        <f t="shared" si="82"/>
        <v>0</v>
      </c>
      <c r="Q469" s="361">
        <f t="shared" si="83"/>
        <v>0</v>
      </c>
    </row>
    <row r="470" spans="2:17" s="122" customFormat="1" x14ac:dyDescent="0.2">
      <c r="B470" s="18">
        <f t="shared" si="84"/>
        <v>100</v>
      </c>
      <c r="C470" s="67"/>
      <c r="D470" s="67"/>
      <c r="E470" s="67"/>
      <c r="F470" s="106"/>
      <c r="G470" s="106"/>
      <c r="H470" s="9" t="s">
        <v>455</v>
      </c>
      <c r="I470" s="10"/>
      <c r="J470" s="10"/>
      <c r="K470" s="107"/>
      <c r="L470" s="10">
        <f>20000+4000</f>
        <v>24000</v>
      </c>
      <c r="M470" s="10">
        <v>0</v>
      </c>
      <c r="N470" s="361">
        <f t="shared" si="80"/>
        <v>0</v>
      </c>
      <c r="O470" s="108">
        <f t="shared" si="81"/>
        <v>24000</v>
      </c>
      <c r="P470" s="108">
        <f t="shared" si="82"/>
        <v>0</v>
      </c>
      <c r="Q470" s="361">
        <f t="shared" si="83"/>
        <v>0</v>
      </c>
    </row>
    <row r="471" spans="2:17" x14ac:dyDescent="0.2">
      <c r="B471" s="18">
        <f t="shared" si="84"/>
        <v>101</v>
      </c>
      <c r="C471" s="67"/>
      <c r="D471" s="67"/>
      <c r="E471" s="67"/>
      <c r="F471" s="106"/>
      <c r="G471" s="106"/>
      <c r="H471" s="9" t="s">
        <v>297</v>
      </c>
      <c r="I471" s="10"/>
      <c r="J471" s="10"/>
      <c r="K471" s="107"/>
      <c r="L471" s="10">
        <v>5000</v>
      </c>
      <c r="M471" s="10">
        <v>0</v>
      </c>
      <c r="N471" s="361">
        <f t="shared" si="80"/>
        <v>0</v>
      </c>
      <c r="O471" s="108">
        <f t="shared" si="81"/>
        <v>5000</v>
      </c>
      <c r="P471" s="108">
        <f t="shared" si="82"/>
        <v>0</v>
      </c>
      <c r="Q471" s="361">
        <f t="shared" si="83"/>
        <v>0</v>
      </c>
    </row>
    <row r="472" spans="2:17" x14ac:dyDescent="0.2">
      <c r="B472" s="18">
        <f t="shared" si="84"/>
        <v>102</v>
      </c>
      <c r="C472" s="67"/>
      <c r="D472" s="67"/>
      <c r="E472" s="67"/>
      <c r="F472" s="106"/>
      <c r="G472" s="106"/>
      <c r="H472" s="9" t="s">
        <v>557</v>
      </c>
      <c r="I472" s="10"/>
      <c r="J472" s="10"/>
      <c r="K472" s="107"/>
      <c r="L472" s="10">
        <v>6882</v>
      </c>
      <c r="M472" s="10">
        <v>6881</v>
      </c>
      <c r="N472" s="361">
        <f t="shared" ref="N472:N486" si="85">M472/L472*100</f>
        <v>99.985469340308057</v>
      </c>
      <c r="O472" s="108">
        <f t="shared" si="81"/>
        <v>6882</v>
      </c>
      <c r="P472" s="108">
        <f t="shared" si="82"/>
        <v>6881</v>
      </c>
      <c r="Q472" s="361">
        <f t="shared" si="83"/>
        <v>99.985469340308057</v>
      </c>
    </row>
    <row r="473" spans="2:17" x14ac:dyDescent="0.2">
      <c r="B473" s="18">
        <f t="shared" si="84"/>
        <v>103</v>
      </c>
      <c r="C473" s="67"/>
      <c r="D473" s="67"/>
      <c r="E473" s="67"/>
      <c r="F473" s="106"/>
      <c r="G473" s="106"/>
      <c r="H473" s="9" t="s">
        <v>513</v>
      </c>
      <c r="I473" s="10"/>
      <c r="J473" s="10"/>
      <c r="K473" s="107"/>
      <c r="L473" s="10">
        <f>46500-3000</f>
        <v>43500</v>
      </c>
      <c r="M473" s="10">
        <v>41748</v>
      </c>
      <c r="N473" s="361">
        <f t="shared" si="85"/>
        <v>95.972413793103456</v>
      </c>
      <c r="O473" s="108">
        <f t="shared" si="81"/>
        <v>43500</v>
      </c>
      <c r="P473" s="108">
        <f t="shared" si="82"/>
        <v>41748</v>
      </c>
      <c r="Q473" s="361">
        <f t="shared" si="83"/>
        <v>95.972413793103456</v>
      </c>
    </row>
    <row r="474" spans="2:17" x14ac:dyDescent="0.2">
      <c r="B474" s="18">
        <f t="shared" si="84"/>
        <v>104</v>
      </c>
      <c r="C474" s="67"/>
      <c r="D474" s="67"/>
      <c r="E474" s="67"/>
      <c r="F474" s="106"/>
      <c r="G474" s="106"/>
      <c r="H474" s="9" t="s">
        <v>541</v>
      </c>
      <c r="I474" s="10"/>
      <c r="J474" s="10"/>
      <c r="K474" s="107"/>
      <c r="L474" s="10">
        <f>15000-4665</f>
        <v>10335</v>
      </c>
      <c r="M474" s="10">
        <v>6334</v>
      </c>
      <c r="N474" s="361">
        <f t="shared" si="85"/>
        <v>61.286889211417517</v>
      </c>
      <c r="O474" s="108">
        <f t="shared" si="81"/>
        <v>10335</v>
      </c>
      <c r="P474" s="108">
        <f t="shared" si="82"/>
        <v>6334</v>
      </c>
      <c r="Q474" s="361">
        <f t="shared" si="83"/>
        <v>61.286889211417517</v>
      </c>
    </row>
    <row r="475" spans="2:17" x14ac:dyDescent="0.2">
      <c r="B475" s="18">
        <f t="shared" si="84"/>
        <v>105</v>
      </c>
      <c r="C475" s="67"/>
      <c r="D475" s="67"/>
      <c r="E475" s="67"/>
      <c r="F475" s="106"/>
      <c r="G475" s="106"/>
      <c r="H475" s="9" t="s">
        <v>660</v>
      </c>
      <c r="I475" s="10"/>
      <c r="J475" s="10"/>
      <c r="K475" s="107"/>
      <c r="L475" s="10">
        <f>11000+24300</f>
        <v>35300</v>
      </c>
      <c r="M475" s="10">
        <v>34041</v>
      </c>
      <c r="N475" s="361">
        <f t="shared" si="85"/>
        <v>96.433427762039656</v>
      </c>
      <c r="O475" s="108">
        <f t="shared" si="81"/>
        <v>35300</v>
      </c>
      <c r="P475" s="108">
        <f t="shared" si="82"/>
        <v>34041</v>
      </c>
      <c r="Q475" s="361">
        <f t="shared" si="83"/>
        <v>96.433427762039656</v>
      </c>
    </row>
    <row r="476" spans="2:17" x14ac:dyDescent="0.2">
      <c r="B476" s="18">
        <f t="shared" si="84"/>
        <v>106</v>
      </c>
      <c r="C476" s="67"/>
      <c r="D476" s="67"/>
      <c r="E476" s="67"/>
      <c r="F476" s="106"/>
      <c r="G476" s="106"/>
      <c r="H476" s="9" t="s">
        <v>673</v>
      </c>
      <c r="I476" s="10"/>
      <c r="J476" s="10"/>
      <c r="K476" s="107"/>
      <c r="L476" s="10">
        <f>7700+6900</f>
        <v>14600</v>
      </c>
      <c r="M476" s="10">
        <v>14368</v>
      </c>
      <c r="N476" s="361">
        <f t="shared" si="85"/>
        <v>98.410958904109592</v>
      </c>
      <c r="O476" s="108">
        <f t="shared" si="81"/>
        <v>14600</v>
      </c>
      <c r="P476" s="108">
        <f t="shared" si="82"/>
        <v>14368</v>
      </c>
      <c r="Q476" s="361">
        <f t="shared" si="83"/>
        <v>98.410958904109592</v>
      </c>
    </row>
    <row r="477" spans="2:17" x14ac:dyDescent="0.2">
      <c r="B477" s="18">
        <f t="shared" si="84"/>
        <v>107</v>
      </c>
      <c r="C477" s="67"/>
      <c r="D477" s="67"/>
      <c r="E477" s="67"/>
      <c r="F477" s="106"/>
      <c r="G477" s="106"/>
      <c r="H477" s="9" t="s">
        <v>542</v>
      </c>
      <c r="I477" s="10"/>
      <c r="J477" s="10"/>
      <c r="K477" s="107"/>
      <c r="L477" s="10">
        <f>265000+285000-36000-11000-136000-400+65</f>
        <v>366665</v>
      </c>
      <c r="M477" s="10">
        <v>366664</v>
      </c>
      <c r="N477" s="361">
        <f t="shared" si="85"/>
        <v>99.999727271487586</v>
      </c>
      <c r="O477" s="108">
        <f t="shared" si="81"/>
        <v>366665</v>
      </c>
      <c r="P477" s="108">
        <f t="shared" si="82"/>
        <v>366664</v>
      </c>
      <c r="Q477" s="361">
        <f t="shared" si="83"/>
        <v>99.999727271487586</v>
      </c>
    </row>
    <row r="478" spans="2:17" x14ac:dyDescent="0.2">
      <c r="B478" s="18">
        <f t="shared" si="84"/>
        <v>108</v>
      </c>
      <c r="C478" s="67"/>
      <c r="D478" s="67"/>
      <c r="E478" s="67"/>
      <c r="F478" s="106"/>
      <c r="G478" s="106"/>
      <c r="H478" s="9" t="s">
        <v>624</v>
      </c>
      <c r="I478" s="10"/>
      <c r="J478" s="10"/>
      <c r="K478" s="107"/>
      <c r="L478" s="10">
        <f>137000-64000-44000</f>
        <v>29000</v>
      </c>
      <c r="M478" s="10">
        <v>26312</v>
      </c>
      <c r="N478" s="361">
        <f t="shared" si="85"/>
        <v>90.731034482758616</v>
      </c>
      <c r="O478" s="108">
        <f t="shared" si="81"/>
        <v>29000</v>
      </c>
      <c r="P478" s="108">
        <f t="shared" si="82"/>
        <v>26312</v>
      </c>
      <c r="Q478" s="361">
        <f t="shared" si="83"/>
        <v>90.731034482758616</v>
      </c>
    </row>
    <row r="479" spans="2:17" x14ac:dyDescent="0.2">
      <c r="B479" s="18">
        <f t="shared" si="84"/>
        <v>109</v>
      </c>
      <c r="C479" s="67"/>
      <c r="D479" s="67"/>
      <c r="E479" s="67"/>
      <c r="F479" s="106"/>
      <c r="G479" s="106"/>
      <c r="H479" s="9" t="s">
        <v>654</v>
      </c>
      <c r="I479" s="10"/>
      <c r="J479" s="10"/>
      <c r="K479" s="107"/>
      <c r="L479" s="10">
        <f>65000-7000</f>
        <v>58000</v>
      </c>
      <c r="M479" s="10">
        <v>57358</v>
      </c>
      <c r="N479" s="361">
        <f t="shared" si="85"/>
        <v>98.893103448275866</v>
      </c>
      <c r="O479" s="108">
        <f t="shared" si="81"/>
        <v>58000</v>
      </c>
      <c r="P479" s="108">
        <f t="shared" si="82"/>
        <v>57358</v>
      </c>
      <c r="Q479" s="361">
        <f t="shared" si="83"/>
        <v>98.893103448275866</v>
      </c>
    </row>
    <row r="480" spans="2:17" x14ac:dyDescent="0.2">
      <c r="B480" s="18">
        <f t="shared" si="84"/>
        <v>110</v>
      </c>
      <c r="C480" s="67"/>
      <c r="D480" s="67"/>
      <c r="E480" s="67"/>
      <c r="F480" s="106"/>
      <c r="G480" s="106"/>
      <c r="H480" s="9" t="s">
        <v>535</v>
      </c>
      <c r="I480" s="10"/>
      <c r="J480" s="10"/>
      <c r="K480" s="107"/>
      <c r="L480" s="10">
        <v>27000</v>
      </c>
      <c r="M480" s="10">
        <v>14666</v>
      </c>
      <c r="N480" s="361">
        <f t="shared" si="85"/>
        <v>54.318518518518523</v>
      </c>
      <c r="O480" s="108">
        <f t="shared" si="81"/>
        <v>27000</v>
      </c>
      <c r="P480" s="108">
        <f t="shared" si="82"/>
        <v>14666</v>
      </c>
      <c r="Q480" s="361">
        <f t="shared" si="83"/>
        <v>54.318518518518523</v>
      </c>
    </row>
    <row r="481" spans="2:17" x14ac:dyDescent="0.2">
      <c r="B481" s="18">
        <f t="shared" si="84"/>
        <v>111</v>
      </c>
      <c r="C481" s="67"/>
      <c r="D481" s="67"/>
      <c r="E481" s="67"/>
      <c r="F481" s="106"/>
      <c r="G481" s="351"/>
      <c r="H481" s="124" t="s">
        <v>652</v>
      </c>
      <c r="I481" s="352"/>
      <c r="J481" s="352"/>
      <c r="K481" s="107"/>
      <c r="L481" s="10">
        <f>193000-30000-11000</f>
        <v>152000</v>
      </c>
      <c r="M481" s="10">
        <v>150755</v>
      </c>
      <c r="N481" s="361">
        <f t="shared" si="85"/>
        <v>99.180921052631575</v>
      </c>
      <c r="O481" s="108">
        <f t="shared" si="81"/>
        <v>152000</v>
      </c>
      <c r="P481" s="108">
        <f t="shared" si="82"/>
        <v>150755</v>
      </c>
      <c r="Q481" s="361">
        <f t="shared" si="83"/>
        <v>99.180921052631575</v>
      </c>
    </row>
    <row r="482" spans="2:17" x14ac:dyDescent="0.2">
      <c r="B482" s="18">
        <f t="shared" si="84"/>
        <v>112</v>
      </c>
      <c r="C482" s="67"/>
      <c r="D482" s="67"/>
      <c r="E482" s="67"/>
      <c r="F482" s="106"/>
      <c r="G482" s="351"/>
      <c r="H482" s="124" t="s">
        <v>658</v>
      </c>
      <c r="I482" s="352"/>
      <c r="J482" s="352"/>
      <c r="K482" s="107"/>
      <c r="L482" s="10">
        <v>30000</v>
      </c>
      <c r="M482" s="10">
        <v>16299</v>
      </c>
      <c r="N482" s="361">
        <f t="shared" si="85"/>
        <v>54.33</v>
      </c>
      <c r="O482" s="108">
        <f t="shared" si="81"/>
        <v>30000</v>
      </c>
      <c r="P482" s="108">
        <f t="shared" si="82"/>
        <v>16299</v>
      </c>
      <c r="Q482" s="361">
        <f t="shared" si="83"/>
        <v>54.33</v>
      </c>
    </row>
    <row r="483" spans="2:17" ht="24" x14ac:dyDescent="0.2">
      <c r="B483" s="18">
        <f t="shared" si="84"/>
        <v>113</v>
      </c>
      <c r="C483" s="100"/>
      <c r="D483" s="100"/>
      <c r="E483" s="100"/>
      <c r="F483" s="101"/>
      <c r="G483" s="185"/>
      <c r="H483" s="186" t="s">
        <v>474</v>
      </c>
      <c r="I483" s="187"/>
      <c r="J483" s="189"/>
      <c r="K483" s="104"/>
      <c r="L483" s="103">
        <v>132000</v>
      </c>
      <c r="M483" s="103">
        <v>115675</v>
      </c>
      <c r="N483" s="361">
        <f t="shared" si="85"/>
        <v>87.632575757575765</v>
      </c>
      <c r="O483" s="105">
        <f t="shared" si="81"/>
        <v>132000</v>
      </c>
      <c r="P483" s="105">
        <f t="shared" si="82"/>
        <v>115675</v>
      </c>
      <c r="Q483" s="361">
        <f t="shared" si="83"/>
        <v>87.632575757575765</v>
      </c>
    </row>
    <row r="484" spans="2:17" ht="24" x14ac:dyDescent="0.2">
      <c r="B484" s="18">
        <f t="shared" si="84"/>
        <v>114</v>
      </c>
      <c r="C484" s="100"/>
      <c r="D484" s="100"/>
      <c r="E484" s="100"/>
      <c r="F484" s="101"/>
      <c r="G484" s="332"/>
      <c r="H484" s="188" t="s">
        <v>584</v>
      </c>
      <c r="I484" s="189"/>
      <c r="J484" s="189"/>
      <c r="K484" s="104"/>
      <c r="L484" s="103">
        <v>3000</v>
      </c>
      <c r="M484" s="103">
        <v>2633</v>
      </c>
      <c r="N484" s="361">
        <f t="shared" si="85"/>
        <v>87.766666666666666</v>
      </c>
      <c r="O484" s="105">
        <f t="shared" si="81"/>
        <v>3000</v>
      </c>
      <c r="P484" s="105">
        <f t="shared" si="82"/>
        <v>2633</v>
      </c>
      <c r="Q484" s="361">
        <f t="shared" si="83"/>
        <v>87.766666666666666</v>
      </c>
    </row>
    <row r="485" spans="2:17" x14ac:dyDescent="0.2">
      <c r="B485" s="18">
        <f t="shared" si="84"/>
        <v>115</v>
      </c>
      <c r="C485" s="180"/>
      <c r="D485" s="180"/>
      <c r="E485" s="180"/>
      <c r="F485" s="181"/>
      <c r="G485" s="182">
        <v>719</v>
      </c>
      <c r="H485" s="180" t="s">
        <v>579</v>
      </c>
      <c r="I485" s="183"/>
      <c r="J485" s="183"/>
      <c r="K485" s="94"/>
      <c r="L485" s="183">
        <f>L486</f>
        <v>3504</v>
      </c>
      <c r="M485" s="183">
        <f>M486</f>
        <v>3503</v>
      </c>
      <c r="N485" s="361">
        <f t="shared" si="85"/>
        <v>99.971461187214615</v>
      </c>
      <c r="O485" s="184">
        <f t="shared" si="81"/>
        <v>3504</v>
      </c>
      <c r="P485" s="184">
        <f t="shared" si="82"/>
        <v>3503</v>
      </c>
      <c r="Q485" s="361">
        <f t="shared" si="83"/>
        <v>99.971461187214615</v>
      </c>
    </row>
    <row r="486" spans="2:17" x14ac:dyDescent="0.2">
      <c r="B486" s="18">
        <f t="shared" si="84"/>
        <v>116</v>
      </c>
      <c r="C486" s="67"/>
      <c r="D486" s="67"/>
      <c r="E486" s="67"/>
      <c r="F486" s="106"/>
      <c r="G486" s="106"/>
      <c r="H486" s="9" t="s">
        <v>578</v>
      </c>
      <c r="I486" s="10"/>
      <c r="J486" s="10"/>
      <c r="K486" s="107"/>
      <c r="L486" s="10">
        <v>3504</v>
      </c>
      <c r="M486" s="10">
        <v>3503</v>
      </c>
      <c r="N486" s="361">
        <f t="shared" si="85"/>
        <v>99.971461187214615</v>
      </c>
      <c r="O486" s="108">
        <f t="shared" si="81"/>
        <v>3504</v>
      </c>
      <c r="P486" s="108">
        <f t="shared" si="82"/>
        <v>3503</v>
      </c>
      <c r="Q486" s="361">
        <f t="shared" si="83"/>
        <v>99.971461187214615</v>
      </c>
    </row>
    <row r="487" spans="2:17" x14ac:dyDescent="0.2">
      <c r="B487" s="1"/>
      <c r="F487" s="1"/>
      <c r="G487" s="1"/>
      <c r="I487" s="1"/>
      <c r="J487" s="1"/>
      <c r="K487" s="1"/>
      <c r="L487" s="1"/>
      <c r="M487" s="1"/>
      <c r="N487" s="1"/>
      <c r="O487" s="1"/>
    </row>
    <row r="488" spans="2:17" x14ac:dyDescent="0.2">
      <c r="B488" s="1"/>
      <c r="F488" s="1"/>
      <c r="G488" s="1"/>
      <c r="I488" s="1"/>
      <c r="J488" s="1"/>
      <c r="K488" s="1"/>
      <c r="L488" s="1"/>
      <c r="M488" s="1"/>
      <c r="N488" s="1"/>
      <c r="O488" s="1"/>
    </row>
    <row r="489" spans="2:17" x14ac:dyDescent="0.2">
      <c r="B489" s="1"/>
      <c r="F489" s="1"/>
      <c r="G489" s="1"/>
      <c r="I489" s="1"/>
      <c r="J489" s="1"/>
      <c r="K489" s="1"/>
      <c r="L489" s="1"/>
      <c r="M489" s="1"/>
      <c r="N489" s="1"/>
      <c r="O489" s="1"/>
    </row>
    <row r="490" spans="2:17" ht="27.75" x14ac:dyDescent="0.4">
      <c r="B490" s="499" t="s">
        <v>20</v>
      </c>
      <c r="C490" s="500"/>
      <c r="D490" s="500"/>
      <c r="E490" s="500"/>
      <c r="F490" s="500"/>
      <c r="G490" s="500"/>
      <c r="H490" s="500"/>
      <c r="I490" s="500"/>
      <c r="J490" s="500"/>
      <c r="K490" s="500"/>
      <c r="L490" s="500"/>
      <c r="M490" s="500"/>
      <c r="N490" s="500"/>
      <c r="O490" s="500"/>
      <c r="P490" s="500"/>
    </row>
    <row r="491" spans="2:17" ht="15" customHeight="1" x14ac:dyDescent="0.35">
      <c r="B491" s="509" t="s">
        <v>418</v>
      </c>
      <c r="C491" s="510"/>
      <c r="D491" s="510"/>
      <c r="E491" s="510"/>
      <c r="F491" s="510"/>
      <c r="G491" s="510"/>
      <c r="H491" s="510"/>
      <c r="I491" s="510"/>
      <c r="J491" s="510"/>
      <c r="K491" s="511"/>
      <c r="L491" s="510"/>
      <c r="M491" s="510"/>
      <c r="N491" s="511"/>
      <c r="O491" s="501" t="s">
        <v>741</v>
      </c>
      <c r="P491" s="512" t="s">
        <v>739</v>
      </c>
      <c r="Q491" s="514" t="s">
        <v>738</v>
      </c>
    </row>
    <row r="492" spans="2:17" ht="12.75" customHeight="1" x14ac:dyDescent="0.2">
      <c r="B492" s="503"/>
      <c r="C492" s="504" t="s">
        <v>114</v>
      </c>
      <c r="D492" s="504" t="s">
        <v>115</v>
      </c>
      <c r="E492" s="504"/>
      <c r="F492" s="504" t="s">
        <v>116</v>
      </c>
      <c r="G492" s="506" t="s">
        <v>117</v>
      </c>
      <c r="H492" s="507" t="s">
        <v>118</v>
      </c>
      <c r="I492" s="508" t="s">
        <v>742</v>
      </c>
      <c r="J492" s="508" t="s">
        <v>744</v>
      </c>
      <c r="K492" s="517" t="s">
        <v>738</v>
      </c>
      <c r="L492" s="505" t="s">
        <v>743</v>
      </c>
      <c r="M492" s="508" t="s">
        <v>745</v>
      </c>
      <c r="N492" s="520" t="s">
        <v>738</v>
      </c>
      <c r="O492" s="502"/>
      <c r="P492" s="513"/>
      <c r="Q492" s="515"/>
    </row>
    <row r="493" spans="2:17" ht="12.75" customHeight="1" x14ac:dyDescent="0.2">
      <c r="B493" s="503"/>
      <c r="C493" s="504"/>
      <c r="D493" s="504"/>
      <c r="E493" s="504"/>
      <c r="F493" s="504"/>
      <c r="G493" s="506"/>
      <c r="H493" s="507"/>
      <c r="I493" s="508"/>
      <c r="J493" s="508"/>
      <c r="K493" s="518"/>
      <c r="L493" s="505"/>
      <c r="M493" s="508"/>
      <c r="N493" s="521"/>
      <c r="O493" s="502"/>
      <c r="P493" s="513"/>
      <c r="Q493" s="515"/>
    </row>
    <row r="494" spans="2:17" ht="12.75" customHeight="1" x14ac:dyDescent="0.2">
      <c r="B494" s="503"/>
      <c r="C494" s="504"/>
      <c r="D494" s="504"/>
      <c r="E494" s="504"/>
      <c r="F494" s="504"/>
      <c r="G494" s="506"/>
      <c r="H494" s="507"/>
      <c r="I494" s="508"/>
      <c r="J494" s="508"/>
      <c r="K494" s="518"/>
      <c r="L494" s="505"/>
      <c r="M494" s="508"/>
      <c r="N494" s="521"/>
      <c r="O494" s="502"/>
      <c r="P494" s="513"/>
      <c r="Q494" s="515"/>
    </row>
    <row r="495" spans="2:17" ht="12.75" customHeight="1" x14ac:dyDescent="0.2">
      <c r="B495" s="503"/>
      <c r="C495" s="504"/>
      <c r="D495" s="504"/>
      <c r="E495" s="504"/>
      <c r="F495" s="504"/>
      <c r="G495" s="506"/>
      <c r="H495" s="507"/>
      <c r="I495" s="508"/>
      <c r="J495" s="508"/>
      <c r="K495" s="519"/>
      <c r="L495" s="505"/>
      <c r="M495" s="508"/>
      <c r="N495" s="521"/>
      <c r="O495" s="502"/>
      <c r="P495" s="513"/>
      <c r="Q495" s="516"/>
    </row>
    <row r="496" spans="2:17" ht="15.75" x14ac:dyDescent="0.2">
      <c r="B496" s="18">
        <v>1</v>
      </c>
      <c r="C496" s="493" t="s">
        <v>20</v>
      </c>
      <c r="D496" s="494"/>
      <c r="E496" s="494"/>
      <c r="F496" s="494"/>
      <c r="G496" s="494"/>
      <c r="H496" s="494"/>
      <c r="I496" s="80">
        <f>I497+I707+I938+I1048+I1333</f>
        <v>37001134</v>
      </c>
      <c r="J496" s="80">
        <f>J497+J707+J938+J1048+J1333</f>
        <v>35205419</v>
      </c>
      <c r="K496" s="361">
        <f t="shared" ref="K496:K527" si="86">J496/I496*100</f>
        <v>95.146864958246951</v>
      </c>
      <c r="L496" s="80">
        <f>L1333+L1048+L938+L707+L497</f>
        <v>2709535</v>
      </c>
      <c r="M496" s="80">
        <f>M1333+M1048+M938+M707+M497</f>
        <v>1133713</v>
      </c>
      <c r="N496" s="361">
        <f>M496/L496*100</f>
        <v>41.841607508299397</v>
      </c>
      <c r="O496" s="81">
        <f t="shared" ref="O496:O559" si="87">I496+L496</f>
        <v>39710669</v>
      </c>
      <c r="P496" s="81">
        <f t="shared" ref="P496:P559" si="88">J496+M496</f>
        <v>36339132</v>
      </c>
      <c r="Q496" s="361">
        <f t="shared" ref="Q496:Q527" si="89">P496/O496*100</f>
        <v>91.509745151863342</v>
      </c>
    </row>
    <row r="497" spans="2:17" ht="15" x14ac:dyDescent="0.2">
      <c r="B497" s="18">
        <f t="shared" ref="B497:B560" si="90">B496+1</f>
        <v>2</v>
      </c>
      <c r="C497" s="82">
        <v>1</v>
      </c>
      <c r="D497" s="495" t="s">
        <v>188</v>
      </c>
      <c r="E497" s="496"/>
      <c r="F497" s="496"/>
      <c r="G497" s="496"/>
      <c r="H497" s="496"/>
      <c r="I497" s="83">
        <f>I498+I509+I520+I525</f>
        <v>8344670</v>
      </c>
      <c r="J497" s="83">
        <f>J498+J509+J520+J525</f>
        <v>7962968</v>
      </c>
      <c r="K497" s="361">
        <f t="shared" si="86"/>
        <v>95.425798743389493</v>
      </c>
      <c r="L497" s="83">
        <f>L509+L520</f>
        <v>201966</v>
      </c>
      <c r="M497" s="83">
        <f>M509+M520</f>
        <v>181303</v>
      </c>
      <c r="N497" s="361">
        <f>M497/L497*100</f>
        <v>89.769070041492128</v>
      </c>
      <c r="O497" s="99">
        <f t="shared" si="87"/>
        <v>8546636</v>
      </c>
      <c r="P497" s="99">
        <f t="shared" si="88"/>
        <v>8144271</v>
      </c>
      <c r="Q497" s="361">
        <f t="shared" si="89"/>
        <v>95.292124293113687</v>
      </c>
    </row>
    <row r="498" spans="2:17" x14ac:dyDescent="0.2">
      <c r="B498" s="18">
        <f t="shared" si="90"/>
        <v>3</v>
      </c>
      <c r="C498" s="3"/>
      <c r="D498" s="3"/>
      <c r="E498" s="3"/>
      <c r="F498" s="90" t="s">
        <v>187</v>
      </c>
      <c r="G498" s="2">
        <v>640</v>
      </c>
      <c r="H498" s="3" t="s">
        <v>129</v>
      </c>
      <c r="I498" s="4">
        <f>I499</f>
        <v>1031225</v>
      </c>
      <c r="J498" s="4">
        <f>J499</f>
        <v>1031225</v>
      </c>
      <c r="K498" s="361">
        <f t="shared" si="86"/>
        <v>100</v>
      </c>
      <c r="L498" s="4"/>
      <c r="M498" s="4"/>
      <c r="N498" s="361"/>
      <c r="O498" s="92">
        <f t="shared" si="87"/>
        <v>1031225</v>
      </c>
      <c r="P498" s="92">
        <f t="shared" si="88"/>
        <v>1031225</v>
      </c>
      <c r="Q498" s="361">
        <f t="shared" si="89"/>
        <v>100</v>
      </c>
    </row>
    <row r="499" spans="2:17" x14ac:dyDescent="0.2">
      <c r="B499" s="18">
        <f t="shared" si="90"/>
        <v>4</v>
      </c>
      <c r="C499" s="6"/>
      <c r="D499" s="6"/>
      <c r="E499" s="6"/>
      <c r="F499" s="93"/>
      <c r="G499" s="5">
        <v>642</v>
      </c>
      <c r="H499" s="6" t="s">
        <v>130</v>
      </c>
      <c r="I499" s="7">
        <f>SUM(I500:I508)</f>
        <v>1031225</v>
      </c>
      <c r="J499" s="7">
        <f>SUM(J500:J508)</f>
        <v>1031225</v>
      </c>
      <c r="K499" s="361">
        <f t="shared" si="86"/>
        <v>100</v>
      </c>
      <c r="L499" s="7"/>
      <c r="M499" s="7"/>
      <c r="N499" s="361"/>
      <c r="O499" s="95">
        <f t="shared" si="87"/>
        <v>1031225</v>
      </c>
      <c r="P499" s="95">
        <f t="shared" si="88"/>
        <v>1031225</v>
      </c>
      <c r="Q499" s="361">
        <f t="shared" si="89"/>
        <v>100</v>
      </c>
    </row>
    <row r="500" spans="2:17" x14ac:dyDescent="0.2">
      <c r="B500" s="18">
        <f t="shared" si="90"/>
        <v>5</v>
      </c>
      <c r="C500" s="67"/>
      <c r="D500" s="67"/>
      <c r="E500" s="9"/>
      <c r="F500" s="106"/>
      <c r="G500" s="106"/>
      <c r="H500" s="9" t="s">
        <v>378</v>
      </c>
      <c r="I500" s="10">
        <f>208467-5540-3435</f>
        <v>199492</v>
      </c>
      <c r="J500" s="10">
        <v>199492</v>
      </c>
      <c r="K500" s="361">
        <f t="shared" si="86"/>
        <v>100</v>
      </c>
      <c r="L500" s="10"/>
      <c r="M500" s="10"/>
      <c r="N500" s="361"/>
      <c r="O500" s="108">
        <f t="shared" si="87"/>
        <v>199492</v>
      </c>
      <c r="P500" s="108">
        <f t="shared" si="88"/>
        <v>199492</v>
      </c>
      <c r="Q500" s="361">
        <f t="shared" si="89"/>
        <v>100</v>
      </c>
    </row>
    <row r="501" spans="2:17" x14ac:dyDescent="0.2">
      <c r="B501" s="18">
        <f t="shared" si="90"/>
        <v>6</v>
      </c>
      <c r="C501" s="67"/>
      <c r="D501" s="67"/>
      <c r="E501" s="9"/>
      <c r="F501" s="106"/>
      <c r="G501" s="106"/>
      <c r="H501" s="9" t="s">
        <v>472</v>
      </c>
      <c r="I501" s="10">
        <f>84711-2249-1395</f>
        <v>81067</v>
      </c>
      <c r="J501" s="10">
        <v>81067</v>
      </c>
      <c r="K501" s="361">
        <f t="shared" si="86"/>
        <v>100</v>
      </c>
      <c r="L501" s="10"/>
      <c r="M501" s="10"/>
      <c r="N501" s="361"/>
      <c r="O501" s="108">
        <f t="shared" si="87"/>
        <v>81067</v>
      </c>
      <c r="P501" s="108">
        <f t="shared" si="88"/>
        <v>81067</v>
      </c>
      <c r="Q501" s="361">
        <f t="shared" si="89"/>
        <v>100</v>
      </c>
    </row>
    <row r="502" spans="2:17" x14ac:dyDescent="0.2">
      <c r="B502" s="18">
        <f t="shared" si="90"/>
        <v>7</v>
      </c>
      <c r="C502" s="67"/>
      <c r="D502" s="67"/>
      <c r="E502" s="9"/>
      <c r="F502" s="106"/>
      <c r="G502" s="106"/>
      <c r="H502" s="9" t="s">
        <v>379</v>
      </c>
      <c r="I502" s="10">
        <f>69278-1839-1141</f>
        <v>66298</v>
      </c>
      <c r="J502" s="10">
        <v>66298</v>
      </c>
      <c r="K502" s="361">
        <f t="shared" si="86"/>
        <v>100</v>
      </c>
      <c r="L502" s="10"/>
      <c r="M502" s="10"/>
      <c r="N502" s="361"/>
      <c r="O502" s="108">
        <f t="shared" si="87"/>
        <v>66298</v>
      </c>
      <c r="P502" s="108">
        <f t="shared" si="88"/>
        <v>66298</v>
      </c>
      <c r="Q502" s="361">
        <f t="shared" si="89"/>
        <v>100</v>
      </c>
    </row>
    <row r="503" spans="2:17" x14ac:dyDescent="0.2">
      <c r="B503" s="18">
        <f t="shared" si="90"/>
        <v>8</v>
      </c>
      <c r="C503" s="67"/>
      <c r="D503" s="67"/>
      <c r="E503" s="9"/>
      <c r="F503" s="106"/>
      <c r="G503" s="106"/>
      <c r="H503" s="9" t="s">
        <v>380</v>
      </c>
      <c r="I503" s="10">
        <f>72281-1919-1190</f>
        <v>69172</v>
      </c>
      <c r="J503" s="10">
        <v>69172</v>
      </c>
      <c r="K503" s="361">
        <f t="shared" si="86"/>
        <v>100</v>
      </c>
      <c r="L503" s="10"/>
      <c r="M503" s="10"/>
      <c r="N503" s="361"/>
      <c r="O503" s="108">
        <f t="shared" si="87"/>
        <v>69172</v>
      </c>
      <c r="P503" s="108">
        <f t="shared" si="88"/>
        <v>69172</v>
      </c>
      <c r="Q503" s="361">
        <f t="shared" si="89"/>
        <v>100</v>
      </c>
    </row>
    <row r="504" spans="2:17" x14ac:dyDescent="0.2">
      <c r="B504" s="18">
        <f t="shared" si="90"/>
        <v>9</v>
      </c>
      <c r="C504" s="67"/>
      <c r="D504" s="67"/>
      <c r="E504" s="9"/>
      <c r="F504" s="106"/>
      <c r="G504" s="106"/>
      <c r="H504" s="9" t="s">
        <v>381</v>
      </c>
      <c r="I504" s="10">
        <f>186186-4942-3068</f>
        <v>178176</v>
      </c>
      <c r="J504" s="10">
        <v>178176</v>
      </c>
      <c r="K504" s="361">
        <f t="shared" si="86"/>
        <v>100</v>
      </c>
      <c r="L504" s="10"/>
      <c r="M504" s="10"/>
      <c r="N504" s="361"/>
      <c r="O504" s="108">
        <f t="shared" si="87"/>
        <v>178176</v>
      </c>
      <c r="P504" s="108">
        <f t="shared" si="88"/>
        <v>178176</v>
      </c>
      <c r="Q504" s="361">
        <f t="shared" si="89"/>
        <v>100</v>
      </c>
    </row>
    <row r="505" spans="2:17" x14ac:dyDescent="0.2">
      <c r="B505" s="18">
        <f t="shared" si="90"/>
        <v>10</v>
      </c>
      <c r="C505" s="67"/>
      <c r="D505" s="67"/>
      <c r="E505" s="9"/>
      <c r="F505" s="106"/>
      <c r="G505" s="106"/>
      <c r="H505" s="9" t="s">
        <v>382</v>
      </c>
      <c r="I505" s="10">
        <f>135135-3587-2226</f>
        <v>129322</v>
      </c>
      <c r="J505" s="10">
        <v>129322</v>
      </c>
      <c r="K505" s="361">
        <f t="shared" si="86"/>
        <v>100</v>
      </c>
      <c r="L505" s="10"/>
      <c r="M505" s="10"/>
      <c r="N505" s="361"/>
      <c r="O505" s="108">
        <f t="shared" si="87"/>
        <v>129322</v>
      </c>
      <c r="P505" s="108">
        <f t="shared" si="88"/>
        <v>129322</v>
      </c>
      <c r="Q505" s="361">
        <f t="shared" si="89"/>
        <v>100</v>
      </c>
    </row>
    <row r="506" spans="2:17" x14ac:dyDescent="0.2">
      <c r="B506" s="18">
        <f t="shared" si="90"/>
        <v>11</v>
      </c>
      <c r="C506" s="67"/>
      <c r="D506" s="67"/>
      <c r="E506" s="9"/>
      <c r="F506" s="106"/>
      <c r="G506" s="106"/>
      <c r="H506" s="9" t="s">
        <v>383</v>
      </c>
      <c r="I506" s="10">
        <f>189398-5028-3120</f>
        <v>181250</v>
      </c>
      <c r="J506" s="10">
        <v>181250</v>
      </c>
      <c r="K506" s="361">
        <f t="shared" si="86"/>
        <v>100</v>
      </c>
      <c r="L506" s="10"/>
      <c r="M506" s="10"/>
      <c r="N506" s="361"/>
      <c r="O506" s="108">
        <f t="shared" si="87"/>
        <v>181250</v>
      </c>
      <c r="P506" s="108">
        <f t="shared" si="88"/>
        <v>181250</v>
      </c>
      <c r="Q506" s="361">
        <f t="shared" si="89"/>
        <v>100</v>
      </c>
    </row>
    <row r="507" spans="2:17" x14ac:dyDescent="0.2">
      <c r="B507" s="18">
        <f t="shared" si="90"/>
        <v>12</v>
      </c>
      <c r="C507" s="67"/>
      <c r="D507" s="67"/>
      <c r="E507" s="9"/>
      <c r="F507" s="106"/>
      <c r="G507" s="106"/>
      <c r="H507" s="9" t="s">
        <v>475</v>
      </c>
      <c r="I507" s="10">
        <f>63063-1833+159-1039</f>
        <v>60350</v>
      </c>
      <c r="J507" s="10">
        <v>60350</v>
      </c>
      <c r="K507" s="361">
        <f t="shared" si="86"/>
        <v>100</v>
      </c>
      <c r="L507" s="10"/>
      <c r="M507" s="10"/>
      <c r="N507" s="361"/>
      <c r="O507" s="108">
        <f t="shared" si="87"/>
        <v>60350</v>
      </c>
      <c r="P507" s="108">
        <f t="shared" si="88"/>
        <v>60350</v>
      </c>
      <c r="Q507" s="361">
        <f t="shared" si="89"/>
        <v>100</v>
      </c>
    </row>
    <row r="508" spans="2:17" x14ac:dyDescent="0.2">
      <c r="B508" s="18">
        <f t="shared" si="90"/>
        <v>13</v>
      </c>
      <c r="C508" s="67"/>
      <c r="D508" s="67"/>
      <c r="E508" s="9"/>
      <c r="F508" s="106"/>
      <c r="G508" s="106"/>
      <c r="H508" s="9" t="s">
        <v>384</v>
      </c>
      <c r="I508" s="10">
        <f>69069-1674-159-1138</f>
        <v>66098</v>
      </c>
      <c r="J508" s="10">
        <v>66098</v>
      </c>
      <c r="K508" s="361">
        <f t="shared" si="86"/>
        <v>100</v>
      </c>
      <c r="L508" s="10"/>
      <c r="M508" s="10"/>
      <c r="N508" s="361"/>
      <c r="O508" s="108">
        <f t="shared" si="87"/>
        <v>66098</v>
      </c>
      <c r="P508" s="108">
        <f t="shared" si="88"/>
        <v>66098</v>
      </c>
      <c r="Q508" s="361">
        <f t="shared" si="89"/>
        <v>100</v>
      </c>
    </row>
    <row r="509" spans="2:17" ht="15" x14ac:dyDescent="0.25">
      <c r="B509" s="18">
        <f t="shared" si="90"/>
        <v>14</v>
      </c>
      <c r="C509" s="176"/>
      <c r="D509" s="176"/>
      <c r="E509" s="176">
        <v>3</v>
      </c>
      <c r="F509" s="177"/>
      <c r="G509" s="177"/>
      <c r="H509" s="176" t="s">
        <v>8</v>
      </c>
      <c r="I509" s="178">
        <f>I510+I511+I512+I518+I519</f>
        <v>853663</v>
      </c>
      <c r="J509" s="178">
        <f>J510+J511+J512+J518+J519</f>
        <v>798630</v>
      </c>
      <c r="K509" s="361">
        <f t="shared" si="86"/>
        <v>93.553310849831846</v>
      </c>
      <c r="L509" s="178"/>
      <c r="M509" s="178"/>
      <c r="N509" s="361"/>
      <c r="O509" s="179">
        <f t="shared" si="87"/>
        <v>853663</v>
      </c>
      <c r="P509" s="179">
        <f t="shared" si="88"/>
        <v>798630</v>
      </c>
      <c r="Q509" s="361">
        <f t="shared" si="89"/>
        <v>93.553310849831846</v>
      </c>
    </row>
    <row r="510" spans="2:17" x14ac:dyDescent="0.2">
      <c r="B510" s="18">
        <f t="shared" si="90"/>
        <v>15</v>
      </c>
      <c r="C510" s="3"/>
      <c r="D510" s="3"/>
      <c r="E510" s="3"/>
      <c r="F510" s="90" t="s">
        <v>187</v>
      </c>
      <c r="G510" s="2">
        <v>610</v>
      </c>
      <c r="H510" s="3" t="s">
        <v>131</v>
      </c>
      <c r="I510" s="4">
        <f>459773-194+2145+6072-2500</f>
        <v>465296</v>
      </c>
      <c r="J510" s="4">
        <v>461880</v>
      </c>
      <c r="K510" s="361">
        <f t="shared" si="86"/>
        <v>99.265843678002824</v>
      </c>
      <c r="L510" s="4"/>
      <c r="M510" s="4"/>
      <c r="N510" s="361"/>
      <c r="O510" s="92">
        <f t="shared" si="87"/>
        <v>465296</v>
      </c>
      <c r="P510" s="92">
        <f t="shared" si="88"/>
        <v>461880</v>
      </c>
      <c r="Q510" s="361">
        <f t="shared" si="89"/>
        <v>99.265843678002824</v>
      </c>
    </row>
    <row r="511" spans="2:17" x14ac:dyDescent="0.2">
      <c r="B511" s="18">
        <f t="shared" si="90"/>
        <v>16</v>
      </c>
      <c r="C511" s="3"/>
      <c r="D511" s="3"/>
      <c r="E511" s="3"/>
      <c r="F511" s="90" t="s">
        <v>187</v>
      </c>
      <c r="G511" s="2">
        <v>620</v>
      </c>
      <c r="H511" s="3" t="s">
        <v>124</v>
      </c>
      <c r="I511" s="4">
        <f>169971+7+1707+946+2500</f>
        <v>175131</v>
      </c>
      <c r="J511" s="4">
        <v>174710</v>
      </c>
      <c r="K511" s="361">
        <f t="shared" si="86"/>
        <v>99.759608521620962</v>
      </c>
      <c r="L511" s="4"/>
      <c r="M511" s="4"/>
      <c r="N511" s="361"/>
      <c r="O511" s="92">
        <f t="shared" si="87"/>
        <v>175131</v>
      </c>
      <c r="P511" s="92">
        <f t="shared" si="88"/>
        <v>174710</v>
      </c>
      <c r="Q511" s="361">
        <f t="shared" si="89"/>
        <v>99.759608521620962</v>
      </c>
    </row>
    <row r="512" spans="2:17" x14ac:dyDescent="0.2">
      <c r="B512" s="18">
        <f t="shared" si="90"/>
        <v>17</v>
      </c>
      <c r="C512" s="3"/>
      <c r="D512" s="3"/>
      <c r="E512" s="3"/>
      <c r="F512" s="90" t="s">
        <v>187</v>
      </c>
      <c r="G512" s="2">
        <v>630</v>
      </c>
      <c r="H512" s="3" t="s">
        <v>121</v>
      </c>
      <c r="I512" s="4">
        <f>SUM(I513:I517)</f>
        <v>198261</v>
      </c>
      <c r="J512" s="4">
        <f>SUM(J513:J517)</f>
        <v>147065</v>
      </c>
      <c r="K512" s="361">
        <f t="shared" si="86"/>
        <v>74.177473128855397</v>
      </c>
      <c r="L512" s="4"/>
      <c r="M512" s="4"/>
      <c r="N512" s="361"/>
      <c r="O512" s="92">
        <f t="shared" si="87"/>
        <v>198261</v>
      </c>
      <c r="P512" s="92">
        <f t="shared" si="88"/>
        <v>147065</v>
      </c>
      <c r="Q512" s="361">
        <f t="shared" si="89"/>
        <v>74.177473128855397</v>
      </c>
    </row>
    <row r="513" spans="2:17" x14ac:dyDescent="0.2">
      <c r="B513" s="18">
        <f t="shared" si="90"/>
        <v>18</v>
      </c>
      <c r="C513" s="6"/>
      <c r="D513" s="6"/>
      <c r="E513" s="6"/>
      <c r="F513" s="93"/>
      <c r="G513" s="5">
        <v>632</v>
      </c>
      <c r="H513" s="6" t="s">
        <v>134</v>
      </c>
      <c r="I513" s="7">
        <v>84930</v>
      </c>
      <c r="J513" s="7">
        <v>42150</v>
      </c>
      <c r="K513" s="361">
        <f t="shared" si="86"/>
        <v>49.629106322854113</v>
      </c>
      <c r="L513" s="7"/>
      <c r="M513" s="7"/>
      <c r="N513" s="361"/>
      <c r="O513" s="95">
        <f t="shared" si="87"/>
        <v>84930</v>
      </c>
      <c r="P513" s="95">
        <f t="shared" si="88"/>
        <v>42150</v>
      </c>
      <c r="Q513" s="361">
        <f t="shared" si="89"/>
        <v>49.629106322854113</v>
      </c>
    </row>
    <row r="514" spans="2:17" x14ac:dyDescent="0.2">
      <c r="B514" s="18">
        <f t="shared" si="90"/>
        <v>19</v>
      </c>
      <c r="C514" s="6"/>
      <c r="D514" s="6"/>
      <c r="E514" s="6"/>
      <c r="F514" s="93"/>
      <c r="G514" s="5">
        <v>633</v>
      </c>
      <c r="H514" s="6" t="s">
        <v>125</v>
      </c>
      <c r="I514" s="7">
        <f>52389-1581-1980+3635+5062+4305</f>
        <v>61830</v>
      </c>
      <c r="J514" s="7">
        <v>58844</v>
      </c>
      <c r="K514" s="361">
        <f t="shared" si="86"/>
        <v>95.170629144428275</v>
      </c>
      <c r="L514" s="7"/>
      <c r="M514" s="7"/>
      <c r="N514" s="361"/>
      <c r="O514" s="95">
        <f t="shared" si="87"/>
        <v>61830</v>
      </c>
      <c r="P514" s="95">
        <f t="shared" si="88"/>
        <v>58844</v>
      </c>
      <c r="Q514" s="361">
        <f t="shared" si="89"/>
        <v>95.170629144428275</v>
      </c>
    </row>
    <row r="515" spans="2:17" x14ac:dyDescent="0.2">
      <c r="B515" s="18">
        <f t="shared" si="90"/>
        <v>20</v>
      </c>
      <c r="C515" s="6"/>
      <c r="D515" s="6"/>
      <c r="E515" s="6"/>
      <c r="F515" s="93"/>
      <c r="G515" s="5">
        <v>635</v>
      </c>
      <c r="H515" s="6" t="s">
        <v>133</v>
      </c>
      <c r="I515" s="7">
        <f>23000-9785+1980-84</f>
        <v>15111</v>
      </c>
      <c r="J515" s="7">
        <v>14715</v>
      </c>
      <c r="K515" s="361">
        <f t="shared" si="86"/>
        <v>97.379392495533054</v>
      </c>
      <c r="L515" s="7"/>
      <c r="M515" s="7"/>
      <c r="N515" s="361"/>
      <c r="O515" s="95">
        <f t="shared" si="87"/>
        <v>15111</v>
      </c>
      <c r="P515" s="95">
        <f t="shared" si="88"/>
        <v>14715</v>
      </c>
      <c r="Q515" s="361">
        <f t="shared" si="89"/>
        <v>97.379392495533054</v>
      </c>
    </row>
    <row r="516" spans="2:17" x14ac:dyDescent="0.2">
      <c r="B516" s="18">
        <f t="shared" si="90"/>
        <v>21</v>
      </c>
      <c r="C516" s="6"/>
      <c r="D516" s="6"/>
      <c r="E516" s="6"/>
      <c r="F516" s="93"/>
      <c r="G516" s="5">
        <v>636</v>
      </c>
      <c r="H516" s="6" t="s">
        <v>126</v>
      </c>
      <c r="I516" s="7">
        <v>14100</v>
      </c>
      <c r="J516" s="7">
        <v>13417</v>
      </c>
      <c r="K516" s="361">
        <f t="shared" si="86"/>
        <v>95.156028368794324</v>
      </c>
      <c r="L516" s="7"/>
      <c r="M516" s="7"/>
      <c r="N516" s="361"/>
      <c r="O516" s="95">
        <f t="shared" si="87"/>
        <v>14100</v>
      </c>
      <c r="P516" s="95">
        <f t="shared" si="88"/>
        <v>13417</v>
      </c>
      <c r="Q516" s="361">
        <f t="shared" si="89"/>
        <v>95.156028368794324</v>
      </c>
    </row>
    <row r="517" spans="2:17" x14ac:dyDescent="0.2">
      <c r="B517" s="18">
        <f t="shared" si="90"/>
        <v>22</v>
      </c>
      <c r="C517" s="6"/>
      <c r="D517" s="6"/>
      <c r="E517" s="6"/>
      <c r="F517" s="93"/>
      <c r="G517" s="5">
        <v>637</v>
      </c>
      <c r="H517" s="6" t="s">
        <v>122</v>
      </c>
      <c r="I517" s="7">
        <f>21290+1000</f>
        <v>22290</v>
      </c>
      <c r="J517" s="7">
        <v>17939</v>
      </c>
      <c r="K517" s="361">
        <f t="shared" si="86"/>
        <v>80.48003589053387</v>
      </c>
      <c r="L517" s="7"/>
      <c r="M517" s="7"/>
      <c r="N517" s="361"/>
      <c r="O517" s="95">
        <f t="shared" si="87"/>
        <v>22290</v>
      </c>
      <c r="P517" s="95">
        <f t="shared" si="88"/>
        <v>17939</v>
      </c>
      <c r="Q517" s="361">
        <f t="shared" si="89"/>
        <v>80.48003589053387</v>
      </c>
    </row>
    <row r="518" spans="2:17" x14ac:dyDescent="0.2">
      <c r="B518" s="18">
        <f t="shared" si="90"/>
        <v>23</v>
      </c>
      <c r="C518" s="3"/>
      <c r="D518" s="3"/>
      <c r="E518" s="3"/>
      <c r="F518" s="90" t="s">
        <v>187</v>
      </c>
      <c r="G518" s="2">
        <v>640</v>
      </c>
      <c r="H518" s="3" t="s">
        <v>129</v>
      </c>
      <c r="I518" s="4">
        <f>450+10000+3244</f>
        <v>13694</v>
      </c>
      <c r="J518" s="4">
        <v>13694</v>
      </c>
      <c r="K518" s="361">
        <f t="shared" si="86"/>
        <v>100</v>
      </c>
      <c r="L518" s="4"/>
      <c r="M518" s="4"/>
      <c r="N518" s="361"/>
      <c r="O518" s="92">
        <f t="shared" si="87"/>
        <v>13694</v>
      </c>
      <c r="P518" s="92">
        <f t="shared" si="88"/>
        <v>13694</v>
      </c>
      <c r="Q518" s="361">
        <f t="shared" si="89"/>
        <v>100</v>
      </c>
    </row>
    <row r="519" spans="2:17" x14ac:dyDescent="0.2">
      <c r="B519" s="18">
        <f t="shared" si="90"/>
        <v>24</v>
      </c>
      <c r="C519" s="3"/>
      <c r="D519" s="3"/>
      <c r="E519" s="3"/>
      <c r="F519" s="90"/>
      <c r="G519" s="2">
        <v>600</v>
      </c>
      <c r="H519" s="3" t="s">
        <v>625</v>
      </c>
      <c r="I519" s="4">
        <v>1281</v>
      </c>
      <c r="J519" s="4">
        <v>1281</v>
      </c>
      <c r="K519" s="361">
        <f t="shared" si="86"/>
        <v>100</v>
      </c>
      <c r="L519" s="4"/>
      <c r="M519" s="4"/>
      <c r="N519" s="361"/>
      <c r="O519" s="92">
        <f t="shared" si="87"/>
        <v>1281</v>
      </c>
      <c r="P519" s="92">
        <f t="shared" si="88"/>
        <v>1281</v>
      </c>
      <c r="Q519" s="361">
        <f t="shared" si="89"/>
        <v>100</v>
      </c>
    </row>
    <row r="520" spans="2:17" ht="15" x14ac:dyDescent="0.25">
      <c r="B520" s="18">
        <f t="shared" si="90"/>
        <v>25</v>
      </c>
      <c r="C520" s="176"/>
      <c r="D520" s="176"/>
      <c r="E520" s="176">
        <v>4</v>
      </c>
      <c r="F520" s="177"/>
      <c r="G520" s="177"/>
      <c r="H520" s="176" t="s">
        <v>83</v>
      </c>
      <c r="I520" s="178">
        <f>I521+I538+I550+I562+I574+I583+I593+I606+I619+I631+I640+I650+I662+I671+I683+I693+I524+I526</f>
        <v>6453882</v>
      </c>
      <c r="J520" s="178">
        <f>J521+J538+J550+J562+J574+J583+J593+J606+J619+J631+J640+J650+J662+J671+J683+J693+J524+J526</f>
        <v>6127214</v>
      </c>
      <c r="K520" s="361">
        <f t="shared" si="86"/>
        <v>94.938426206119047</v>
      </c>
      <c r="L520" s="178">
        <f>L538+L550+L562+L574+L583+L593+L606+L619+L631+L650+L662+L671+L683+L693+L640</f>
        <v>201966</v>
      </c>
      <c r="M520" s="178">
        <f>M538+M550+M562+M574+M583+M593+M606+M619+M631+M650+M662+M671+M683+M693+M640</f>
        <v>181303</v>
      </c>
      <c r="N520" s="361">
        <f>M520/L520*100</f>
        <v>89.769070041492128</v>
      </c>
      <c r="O520" s="179">
        <f t="shared" si="87"/>
        <v>6655848</v>
      </c>
      <c r="P520" s="179">
        <f t="shared" si="88"/>
        <v>6308517</v>
      </c>
      <c r="Q520" s="361">
        <f t="shared" si="89"/>
        <v>94.781566526158642</v>
      </c>
    </row>
    <row r="521" spans="2:17" x14ac:dyDescent="0.2">
      <c r="B521" s="18">
        <f t="shared" si="90"/>
        <v>26</v>
      </c>
      <c r="C521" s="3"/>
      <c r="D521" s="3"/>
      <c r="E521" s="3"/>
      <c r="F521" s="90" t="s">
        <v>187</v>
      </c>
      <c r="G521" s="2">
        <v>630</v>
      </c>
      <c r="H521" s="3" t="s">
        <v>121</v>
      </c>
      <c r="I521" s="4">
        <f>SUM(I522:I523)</f>
        <v>3775</v>
      </c>
      <c r="J521" s="4">
        <f>SUM(J522:J523)</f>
        <v>0</v>
      </c>
      <c r="K521" s="361">
        <f t="shared" si="86"/>
        <v>0</v>
      </c>
      <c r="L521" s="4"/>
      <c r="M521" s="4"/>
      <c r="N521" s="361"/>
      <c r="O521" s="92">
        <f t="shared" si="87"/>
        <v>3775</v>
      </c>
      <c r="P521" s="92">
        <f t="shared" si="88"/>
        <v>0</v>
      </c>
      <c r="Q521" s="361">
        <f t="shared" si="89"/>
        <v>0</v>
      </c>
    </row>
    <row r="522" spans="2:17" x14ac:dyDescent="0.2">
      <c r="B522" s="18">
        <f t="shared" si="90"/>
        <v>27</v>
      </c>
      <c r="C522" s="6"/>
      <c r="D522" s="6"/>
      <c r="E522" s="6"/>
      <c r="F522" s="93"/>
      <c r="G522" s="5">
        <v>635</v>
      </c>
      <c r="H522" s="6" t="s">
        <v>133</v>
      </c>
      <c r="I522" s="7">
        <f>30000-21000+25000-24000-6000-800</f>
        <v>3200</v>
      </c>
      <c r="J522" s="7">
        <v>0</v>
      </c>
      <c r="K522" s="361">
        <f t="shared" si="86"/>
        <v>0</v>
      </c>
      <c r="L522" s="7"/>
      <c r="M522" s="7"/>
      <c r="N522" s="361"/>
      <c r="O522" s="95">
        <f t="shared" si="87"/>
        <v>3200</v>
      </c>
      <c r="P522" s="95">
        <f t="shared" si="88"/>
        <v>0</v>
      </c>
      <c r="Q522" s="361">
        <f t="shared" si="89"/>
        <v>0</v>
      </c>
    </row>
    <row r="523" spans="2:17" x14ac:dyDescent="0.2">
      <c r="B523" s="18">
        <f t="shared" si="90"/>
        <v>28</v>
      </c>
      <c r="C523" s="6"/>
      <c r="D523" s="6"/>
      <c r="E523" s="6"/>
      <c r="F523" s="93"/>
      <c r="G523" s="5">
        <v>637</v>
      </c>
      <c r="H523" s="6" t="s">
        <v>448</v>
      </c>
      <c r="I523" s="7">
        <f>2210-1410-225</f>
        <v>575</v>
      </c>
      <c r="J523" s="7">
        <v>0</v>
      </c>
      <c r="K523" s="361">
        <f t="shared" si="86"/>
        <v>0</v>
      </c>
      <c r="L523" s="7"/>
      <c r="M523" s="7"/>
      <c r="N523" s="361"/>
      <c r="O523" s="95">
        <f t="shared" si="87"/>
        <v>575</v>
      </c>
      <c r="P523" s="95">
        <f t="shared" si="88"/>
        <v>0</v>
      </c>
      <c r="Q523" s="361">
        <f t="shared" si="89"/>
        <v>0</v>
      </c>
    </row>
    <row r="524" spans="2:17" x14ac:dyDescent="0.2">
      <c r="B524" s="18">
        <f t="shared" si="90"/>
        <v>29</v>
      </c>
      <c r="C524" s="6"/>
      <c r="D524" s="6"/>
      <c r="E524" s="6"/>
      <c r="F524" s="93"/>
      <c r="G524" s="5">
        <v>600</v>
      </c>
      <c r="H524" s="6" t="s">
        <v>625</v>
      </c>
      <c r="I524" s="4">
        <v>14083</v>
      </c>
      <c r="J524" s="4">
        <v>14083</v>
      </c>
      <c r="K524" s="361">
        <f t="shared" si="86"/>
        <v>100</v>
      </c>
      <c r="L524" s="7"/>
      <c r="M524" s="7"/>
      <c r="N524" s="361"/>
      <c r="O524" s="92">
        <f t="shared" si="87"/>
        <v>14083</v>
      </c>
      <c r="P524" s="92">
        <f t="shared" si="88"/>
        <v>14083</v>
      </c>
      <c r="Q524" s="361">
        <f t="shared" si="89"/>
        <v>100</v>
      </c>
    </row>
    <row r="525" spans="2:17" x14ac:dyDescent="0.2">
      <c r="B525" s="18">
        <f t="shared" si="90"/>
        <v>30</v>
      </c>
      <c r="C525" s="6"/>
      <c r="D525" s="6"/>
      <c r="E525" s="6"/>
      <c r="F525" s="93"/>
      <c r="G525" s="2">
        <v>637</v>
      </c>
      <c r="H525" s="3" t="s">
        <v>626</v>
      </c>
      <c r="I525" s="4">
        <v>5900</v>
      </c>
      <c r="J525" s="4">
        <v>5899</v>
      </c>
      <c r="K525" s="361">
        <f t="shared" si="86"/>
        <v>99.983050847457619</v>
      </c>
      <c r="L525" s="4"/>
      <c r="M525" s="4"/>
      <c r="N525" s="361"/>
      <c r="O525" s="92">
        <f t="shared" si="87"/>
        <v>5900</v>
      </c>
      <c r="P525" s="92">
        <f t="shared" si="88"/>
        <v>5899</v>
      </c>
      <c r="Q525" s="361">
        <f t="shared" si="89"/>
        <v>99.983050847457619</v>
      </c>
    </row>
    <row r="526" spans="2:17" ht="24" x14ac:dyDescent="0.2">
      <c r="B526" s="18">
        <f t="shared" si="90"/>
        <v>31</v>
      </c>
      <c r="C526" s="355"/>
      <c r="D526" s="355"/>
      <c r="E526" s="355"/>
      <c r="F526" s="356"/>
      <c r="G526" s="356"/>
      <c r="H526" s="357" t="s">
        <v>760</v>
      </c>
      <c r="I526" s="358">
        <f>I527+I528+I529+I537</f>
        <v>384986</v>
      </c>
      <c r="J526" s="358">
        <f>J527+J528+J529+J537</f>
        <v>336874</v>
      </c>
      <c r="K526" s="361">
        <f t="shared" si="86"/>
        <v>87.502922184183319</v>
      </c>
      <c r="L526" s="199"/>
      <c r="M526" s="199"/>
      <c r="N526" s="361"/>
      <c r="O526" s="200">
        <f t="shared" si="87"/>
        <v>384986</v>
      </c>
      <c r="P526" s="200">
        <f t="shared" si="88"/>
        <v>336874</v>
      </c>
      <c r="Q526" s="361">
        <f t="shared" si="89"/>
        <v>87.502922184183319</v>
      </c>
    </row>
    <row r="527" spans="2:17" x14ac:dyDescent="0.2">
      <c r="B527" s="18">
        <f t="shared" si="90"/>
        <v>32</v>
      </c>
      <c r="C527" s="6"/>
      <c r="D527" s="6"/>
      <c r="E527" s="3"/>
      <c r="F527" s="90" t="s">
        <v>187</v>
      </c>
      <c r="G527" s="2">
        <v>610</v>
      </c>
      <c r="H527" s="3" t="s">
        <v>131</v>
      </c>
      <c r="I527" s="4">
        <v>141561</v>
      </c>
      <c r="J527" s="4">
        <v>137940</v>
      </c>
      <c r="K527" s="361">
        <f t="shared" si="86"/>
        <v>97.442092101638167</v>
      </c>
      <c r="L527" s="4"/>
      <c r="M527" s="4"/>
      <c r="N527" s="361"/>
      <c r="O527" s="92">
        <f t="shared" si="87"/>
        <v>141561</v>
      </c>
      <c r="P527" s="92">
        <f t="shared" si="88"/>
        <v>137940</v>
      </c>
      <c r="Q527" s="361">
        <f t="shared" si="89"/>
        <v>97.442092101638167</v>
      </c>
    </row>
    <row r="528" spans="2:17" x14ac:dyDescent="0.2">
      <c r="B528" s="18">
        <f t="shared" si="90"/>
        <v>33</v>
      </c>
      <c r="C528" s="6"/>
      <c r="D528" s="6"/>
      <c r="E528" s="3"/>
      <c r="F528" s="90" t="s">
        <v>187</v>
      </c>
      <c r="G528" s="2">
        <v>620</v>
      </c>
      <c r="H528" s="3" t="s">
        <v>124</v>
      </c>
      <c r="I528" s="4">
        <v>54760</v>
      </c>
      <c r="J528" s="4">
        <v>50784</v>
      </c>
      <c r="K528" s="361">
        <f t="shared" ref="K528:K546" si="91">J528/I528*100</f>
        <v>92.739225712198675</v>
      </c>
      <c r="L528" s="4"/>
      <c r="M528" s="4"/>
      <c r="N528" s="361"/>
      <c r="O528" s="92">
        <f t="shared" si="87"/>
        <v>54760</v>
      </c>
      <c r="P528" s="92">
        <f t="shared" si="88"/>
        <v>50784</v>
      </c>
      <c r="Q528" s="361">
        <f t="shared" ref="Q528:Q559" si="92">P528/O528*100</f>
        <v>92.739225712198675</v>
      </c>
    </row>
    <row r="529" spans="2:17" x14ac:dyDescent="0.2">
      <c r="B529" s="18">
        <f t="shared" si="90"/>
        <v>34</v>
      </c>
      <c r="C529" s="6"/>
      <c r="D529" s="6"/>
      <c r="E529" s="3"/>
      <c r="F529" s="90" t="s">
        <v>187</v>
      </c>
      <c r="G529" s="2">
        <v>630</v>
      </c>
      <c r="H529" s="3" t="s">
        <v>121</v>
      </c>
      <c r="I529" s="4">
        <f>SUM(I530:I536)</f>
        <v>181671</v>
      </c>
      <c r="J529" s="4">
        <f>SUM(J530:J536)</f>
        <v>141435</v>
      </c>
      <c r="K529" s="361">
        <f t="shared" si="91"/>
        <v>77.852271413709389</v>
      </c>
      <c r="L529" s="4"/>
      <c r="M529" s="4"/>
      <c r="N529" s="361"/>
      <c r="O529" s="92">
        <f t="shared" si="87"/>
        <v>181671</v>
      </c>
      <c r="P529" s="92">
        <f t="shared" si="88"/>
        <v>141435</v>
      </c>
      <c r="Q529" s="361">
        <f t="shared" si="92"/>
        <v>77.852271413709389</v>
      </c>
    </row>
    <row r="530" spans="2:17" x14ac:dyDescent="0.2">
      <c r="B530" s="18">
        <f t="shared" si="90"/>
        <v>35</v>
      </c>
      <c r="C530" s="6"/>
      <c r="D530" s="6"/>
      <c r="E530" s="6"/>
      <c r="F530" s="93"/>
      <c r="G530" s="5">
        <v>631</v>
      </c>
      <c r="H530" s="6" t="s">
        <v>127</v>
      </c>
      <c r="I530" s="7">
        <v>200</v>
      </c>
      <c r="J530" s="7">
        <v>17</v>
      </c>
      <c r="K530" s="361">
        <f t="shared" si="91"/>
        <v>8.5</v>
      </c>
      <c r="L530" s="4"/>
      <c r="M530" s="4"/>
      <c r="N530" s="361"/>
      <c r="O530" s="95">
        <f t="shared" si="87"/>
        <v>200</v>
      </c>
      <c r="P530" s="95">
        <f t="shared" si="88"/>
        <v>17</v>
      </c>
      <c r="Q530" s="361">
        <f t="shared" si="92"/>
        <v>8.5</v>
      </c>
    </row>
    <row r="531" spans="2:17" x14ac:dyDescent="0.2">
      <c r="B531" s="18">
        <f t="shared" si="90"/>
        <v>36</v>
      </c>
      <c r="C531" s="6"/>
      <c r="D531" s="6"/>
      <c r="E531" s="6"/>
      <c r="F531" s="93"/>
      <c r="G531" s="5">
        <v>632</v>
      </c>
      <c r="H531" s="6" t="s">
        <v>134</v>
      </c>
      <c r="I531" s="7">
        <v>1000</v>
      </c>
      <c r="J531" s="7">
        <v>926</v>
      </c>
      <c r="K531" s="361">
        <f t="shared" si="91"/>
        <v>92.600000000000009</v>
      </c>
      <c r="L531" s="4"/>
      <c r="M531" s="4"/>
      <c r="N531" s="361"/>
      <c r="O531" s="95">
        <f t="shared" si="87"/>
        <v>1000</v>
      </c>
      <c r="P531" s="95">
        <f t="shared" si="88"/>
        <v>926</v>
      </c>
      <c r="Q531" s="361">
        <f t="shared" si="92"/>
        <v>92.600000000000009</v>
      </c>
    </row>
    <row r="532" spans="2:17" x14ac:dyDescent="0.2">
      <c r="B532" s="18">
        <f t="shared" si="90"/>
        <v>37</v>
      </c>
      <c r="C532" s="6"/>
      <c r="D532" s="6"/>
      <c r="E532" s="6"/>
      <c r="F532" s="93"/>
      <c r="G532" s="5">
        <v>633</v>
      </c>
      <c r="H532" s="6" t="s">
        <v>125</v>
      </c>
      <c r="I532" s="7">
        <v>4500</v>
      </c>
      <c r="J532" s="7">
        <v>4223</v>
      </c>
      <c r="K532" s="361">
        <f t="shared" si="91"/>
        <v>93.844444444444434</v>
      </c>
      <c r="L532" s="4"/>
      <c r="M532" s="4"/>
      <c r="N532" s="361"/>
      <c r="O532" s="95">
        <f t="shared" si="87"/>
        <v>4500</v>
      </c>
      <c r="P532" s="95">
        <f t="shared" si="88"/>
        <v>4223</v>
      </c>
      <c r="Q532" s="361">
        <f t="shared" si="92"/>
        <v>93.844444444444434</v>
      </c>
    </row>
    <row r="533" spans="2:17" x14ac:dyDescent="0.2">
      <c r="B533" s="18">
        <f t="shared" si="90"/>
        <v>38</v>
      </c>
      <c r="C533" s="6"/>
      <c r="D533" s="6"/>
      <c r="E533" s="6"/>
      <c r="F533" s="93"/>
      <c r="G533" s="5">
        <v>634</v>
      </c>
      <c r="H533" s="6" t="s">
        <v>132</v>
      </c>
      <c r="I533" s="7">
        <v>4800</v>
      </c>
      <c r="J533" s="7">
        <v>4468</v>
      </c>
      <c r="K533" s="361">
        <f t="shared" si="91"/>
        <v>93.083333333333329</v>
      </c>
      <c r="L533" s="4"/>
      <c r="M533" s="4"/>
      <c r="N533" s="361"/>
      <c r="O533" s="95">
        <f t="shared" si="87"/>
        <v>4800</v>
      </c>
      <c r="P533" s="95">
        <f t="shared" si="88"/>
        <v>4468</v>
      </c>
      <c r="Q533" s="361">
        <f t="shared" si="92"/>
        <v>93.083333333333329</v>
      </c>
    </row>
    <row r="534" spans="2:17" x14ac:dyDescent="0.2">
      <c r="B534" s="18">
        <f t="shared" si="90"/>
        <v>39</v>
      </c>
      <c r="C534" s="6"/>
      <c r="D534" s="6"/>
      <c r="E534" s="6"/>
      <c r="F534" s="93"/>
      <c r="G534" s="5">
        <v>635</v>
      </c>
      <c r="H534" s="6" t="s">
        <v>133</v>
      </c>
      <c r="I534" s="7">
        <v>80300</v>
      </c>
      <c r="J534" s="7">
        <v>76993</v>
      </c>
      <c r="K534" s="361">
        <f t="shared" si="91"/>
        <v>95.881693648816935</v>
      </c>
      <c r="L534" s="4"/>
      <c r="M534" s="4"/>
      <c r="N534" s="361"/>
      <c r="O534" s="95">
        <f t="shared" si="87"/>
        <v>80300</v>
      </c>
      <c r="P534" s="95">
        <f t="shared" si="88"/>
        <v>76993</v>
      </c>
      <c r="Q534" s="361">
        <f t="shared" si="92"/>
        <v>95.881693648816935</v>
      </c>
    </row>
    <row r="535" spans="2:17" x14ac:dyDescent="0.2">
      <c r="B535" s="18">
        <f t="shared" si="90"/>
        <v>40</v>
      </c>
      <c r="C535" s="6"/>
      <c r="D535" s="6"/>
      <c r="E535" s="6"/>
      <c r="F535" s="93"/>
      <c r="G535" s="5">
        <v>636</v>
      </c>
      <c r="H535" s="6" t="s">
        <v>126</v>
      </c>
      <c r="I535" s="7">
        <v>7280</v>
      </c>
      <c r="J535" s="7">
        <v>5512</v>
      </c>
      <c r="K535" s="361">
        <f t="shared" si="91"/>
        <v>75.714285714285708</v>
      </c>
      <c r="L535" s="4"/>
      <c r="M535" s="4"/>
      <c r="N535" s="361"/>
      <c r="O535" s="95">
        <f t="shared" si="87"/>
        <v>7280</v>
      </c>
      <c r="P535" s="95">
        <f t="shared" si="88"/>
        <v>5512</v>
      </c>
      <c r="Q535" s="361">
        <f t="shared" si="92"/>
        <v>75.714285714285708</v>
      </c>
    </row>
    <row r="536" spans="2:17" x14ac:dyDescent="0.2">
      <c r="B536" s="18">
        <f t="shared" si="90"/>
        <v>41</v>
      </c>
      <c r="C536" s="6"/>
      <c r="D536" s="6"/>
      <c r="E536" s="61"/>
      <c r="F536" s="202"/>
      <c r="G536" s="203">
        <v>637</v>
      </c>
      <c r="H536" s="61" t="s">
        <v>122</v>
      </c>
      <c r="I536" s="62">
        <v>83591</v>
      </c>
      <c r="J536" s="62">
        <v>49296</v>
      </c>
      <c r="K536" s="361">
        <f t="shared" si="91"/>
        <v>58.972855929466093</v>
      </c>
      <c r="L536" s="4"/>
      <c r="M536" s="4"/>
      <c r="N536" s="361"/>
      <c r="O536" s="95">
        <f t="shared" si="87"/>
        <v>83591</v>
      </c>
      <c r="P536" s="95">
        <f t="shared" si="88"/>
        <v>49296</v>
      </c>
      <c r="Q536" s="361">
        <f t="shared" si="92"/>
        <v>58.972855929466093</v>
      </c>
    </row>
    <row r="537" spans="2:17" x14ac:dyDescent="0.2">
      <c r="B537" s="18">
        <f t="shared" si="90"/>
        <v>42</v>
      </c>
      <c r="C537" s="6"/>
      <c r="D537" s="6"/>
      <c r="E537" s="204"/>
      <c r="F537" s="205" t="s">
        <v>187</v>
      </c>
      <c r="G537" s="206">
        <v>640</v>
      </c>
      <c r="H537" s="204" t="s">
        <v>129</v>
      </c>
      <c r="I537" s="207">
        <v>6994</v>
      </c>
      <c r="J537" s="207">
        <v>6715</v>
      </c>
      <c r="K537" s="361">
        <f t="shared" si="91"/>
        <v>96.0108664569631</v>
      </c>
      <c r="L537" s="4"/>
      <c r="M537" s="4"/>
      <c r="N537" s="361"/>
      <c r="O537" s="92">
        <f t="shared" si="87"/>
        <v>6994</v>
      </c>
      <c r="P537" s="92">
        <f t="shared" si="88"/>
        <v>6715</v>
      </c>
      <c r="Q537" s="361">
        <f t="shared" si="92"/>
        <v>96.0108664569631</v>
      </c>
    </row>
    <row r="538" spans="2:17" x14ac:dyDescent="0.2">
      <c r="B538" s="18">
        <f t="shared" si="90"/>
        <v>43</v>
      </c>
      <c r="C538" s="190"/>
      <c r="D538" s="190"/>
      <c r="E538" s="190" t="s">
        <v>91</v>
      </c>
      <c r="F538" s="191"/>
      <c r="G538" s="191"/>
      <c r="H538" s="190" t="s">
        <v>65</v>
      </c>
      <c r="I538" s="192">
        <f>I539+I540+I541+I546</f>
        <v>306211</v>
      </c>
      <c r="J538" s="192">
        <f>J539+J540+J541+J546</f>
        <v>284648</v>
      </c>
      <c r="K538" s="361">
        <f t="shared" si="91"/>
        <v>92.958123646766438</v>
      </c>
      <c r="L538" s="192">
        <f>L547</f>
        <v>10000</v>
      </c>
      <c r="M538" s="192">
        <f>M547</f>
        <v>9538</v>
      </c>
      <c r="N538" s="361">
        <f>M538/L538*100</f>
        <v>95.38</v>
      </c>
      <c r="O538" s="193">
        <f t="shared" si="87"/>
        <v>316211</v>
      </c>
      <c r="P538" s="193">
        <f t="shared" si="88"/>
        <v>294186</v>
      </c>
      <c r="Q538" s="361">
        <f t="shared" si="92"/>
        <v>93.034714162378918</v>
      </c>
    </row>
    <row r="539" spans="2:17" x14ac:dyDescent="0.2">
      <c r="B539" s="18">
        <f t="shared" si="90"/>
        <v>44</v>
      </c>
      <c r="C539" s="3"/>
      <c r="D539" s="3"/>
      <c r="E539" s="3"/>
      <c r="F539" s="90" t="s">
        <v>187</v>
      </c>
      <c r="G539" s="2">
        <v>610</v>
      </c>
      <c r="H539" s="3" t="s">
        <v>131</v>
      </c>
      <c r="I539" s="4">
        <f>143070+100+691+2822+14422</f>
        <v>161105</v>
      </c>
      <c r="J539" s="4">
        <v>154984</v>
      </c>
      <c r="K539" s="361">
        <f t="shared" si="91"/>
        <v>96.200614506067467</v>
      </c>
      <c r="L539" s="4"/>
      <c r="M539" s="4"/>
      <c r="N539" s="361"/>
      <c r="O539" s="92">
        <f t="shared" si="87"/>
        <v>161105</v>
      </c>
      <c r="P539" s="92">
        <f t="shared" si="88"/>
        <v>154984</v>
      </c>
      <c r="Q539" s="361">
        <f t="shared" si="92"/>
        <v>96.200614506067467</v>
      </c>
    </row>
    <row r="540" spans="2:17" x14ac:dyDescent="0.2">
      <c r="B540" s="18">
        <f t="shared" si="90"/>
        <v>45</v>
      </c>
      <c r="C540" s="3"/>
      <c r="D540" s="3"/>
      <c r="E540" s="3"/>
      <c r="F540" s="90" t="s">
        <v>187</v>
      </c>
      <c r="G540" s="2">
        <v>620</v>
      </c>
      <c r="H540" s="3" t="s">
        <v>124</v>
      </c>
      <c r="I540" s="4">
        <f>53259+35+267+1554+1152</f>
        <v>56267</v>
      </c>
      <c r="J540" s="4">
        <v>56082</v>
      </c>
      <c r="K540" s="361">
        <f t="shared" si="91"/>
        <v>99.671210478610902</v>
      </c>
      <c r="L540" s="4"/>
      <c r="M540" s="4"/>
      <c r="N540" s="361"/>
      <c r="O540" s="92">
        <f t="shared" si="87"/>
        <v>56267</v>
      </c>
      <c r="P540" s="92">
        <f t="shared" si="88"/>
        <v>56082</v>
      </c>
      <c r="Q540" s="361">
        <f t="shared" si="92"/>
        <v>99.671210478610902</v>
      </c>
    </row>
    <row r="541" spans="2:17" x14ac:dyDescent="0.2">
      <c r="B541" s="18">
        <f t="shared" si="90"/>
        <v>46</v>
      </c>
      <c r="C541" s="3"/>
      <c r="D541" s="3"/>
      <c r="E541" s="3"/>
      <c r="F541" s="90" t="s">
        <v>187</v>
      </c>
      <c r="G541" s="2">
        <v>630</v>
      </c>
      <c r="H541" s="3" t="s">
        <v>121</v>
      </c>
      <c r="I541" s="4">
        <f>SUM(I542:I545)</f>
        <v>86055</v>
      </c>
      <c r="J541" s="4">
        <f>SUM(J542:J545)</f>
        <v>71535</v>
      </c>
      <c r="K541" s="361">
        <f t="shared" si="91"/>
        <v>83.12706989715879</v>
      </c>
      <c r="L541" s="4"/>
      <c r="M541" s="4"/>
      <c r="N541" s="361"/>
      <c r="O541" s="92">
        <f t="shared" si="87"/>
        <v>86055</v>
      </c>
      <c r="P541" s="92">
        <f t="shared" si="88"/>
        <v>71535</v>
      </c>
      <c r="Q541" s="361">
        <f t="shared" si="92"/>
        <v>83.12706989715879</v>
      </c>
    </row>
    <row r="542" spans="2:17" x14ac:dyDescent="0.2">
      <c r="B542" s="18">
        <f t="shared" si="90"/>
        <v>47</v>
      </c>
      <c r="C542" s="6"/>
      <c r="D542" s="6"/>
      <c r="E542" s="6"/>
      <c r="F542" s="93"/>
      <c r="G542" s="5">
        <v>632</v>
      </c>
      <c r="H542" s="6" t="s">
        <v>134</v>
      </c>
      <c r="I542" s="7">
        <f>45210-10000</f>
        <v>35210</v>
      </c>
      <c r="J542" s="7">
        <v>24354</v>
      </c>
      <c r="K542" s="361">
        <f t="shared" si="91"/>
        <v>69.167850042601529</v>
      </c>
      <c r="L542" s="7"/>
      <c r="M542" s="7"/>
      <c r="N542" s="361"/>
      <c r="O542" s="95">
        <f t="shared" si="87"/>
        <v>35210</v>
      </c>
      <c r="P542" s="95">
        <f t="shared" si="88"/>
        <v>24354</v>
      </c>
      <c r="Q542" s="361">
        <f t="shared" si="92"/>
        <v>69.167850042601529</v>
      </c>
    </row>
    <row r="543" spans="2:17" x14ac:dyDescent="0.2">
      <c r="B543" s="18">
        <f t="shared" si="90"/>
        <v>48</v>
      </c>
      <c r="C543" s="6"/>
      <c r="D543" s="6"/>
      <c r="E543" s="6"/>
      <c r="F543" s="93"/>
      <c r="G543" s="5">
        <v>633</v>
      </c>
      <c r="H543" s="6" t="s">
        <v>125</v>
      </c>
      <c r="I543" s="7">
        <f>23201-3881-958+1402-600+2448+2583</f>
        <v>24195</v>
      </c>
      <c r="J543" s="7">
        <v>22437</v>
      </c>
      <c r="K543" s="361">
        <f t="shared" si="91"/>
        <v>92.734035957842536</v>
      </c>
      <c r="L543" s="7"/>
      <c r="M543" s="7"/>
      <c r="N543" s="361"/>
      <c r="O543" s="95">
        <f t="shared" si="87"/>
        <v>24195</v>
      </c>
      <c r="P543" s="95">
        <f t="shared" si="88"/>
        <v>22437</v>
      </c>
      <c r="Q543" s="361">
        <f t="shared" si="92"/>
        <v>92.734035957842536</v>
      </c>
    </row>
    <row r="544" spans="2:17" x14ac:dyDescent="0.2">
      <c r="B544" s="18">
        <f t="shared" si="90"/>
        <v>49</v>
      </c>
      <c r="C544" s="6"/>
      <c r="D544" s="6"/>
      <c r="E544" s="6"/>
      <c r="F544" s="93"/>
      <c r="G544" s="5">
        <v>635</v>
      </c>
      <c r="H544" s="6" t="s">
        <v>133</v>
      </c>
      <c r="I544" s="7">
        <f>3000+10000+6000</f>
        <v>19000</v>
      </c>
      <c r="J544" s="7">
        <v>18999</v>
      </c>
      <c r="K544" s="361">
        <f t="shared" si="91"/>
        <v>99.994736842105254</v>
      </c>
      <c r="L544" s="7"/>
      <c r="M544" s="7"/>
      <c r="N544" s="361"/>
      <c r="O544" s="95">
        <f t="shared" si="87"/>
        <v>19000</v>
      </c>
      <c r="P544" s="95">
        <f t="shared" si="88"/>
        <v>18999</v>
      </c>
      <c r="Q544" s="361">
        <f t="shared" si="92"/>
        <v>99.994736842105254</v>
      </c>
    </row>
    <row r="545" spans="2:17" x14ac:dyDescent="0.2">
      <c r="B545" s="18">
        <f t="shared" si="90"/>
        <v>50</v>
      </c>
      <c r="C545" s="6"/>
      <c r="D545" s="6"/>
      <c r="E545" s="6"/>
      <c r="F545" s="93"/>
      <c r="G545" s="5">
        <v>637</v>
      </c>
      <c r="H545" s="6" t="s">
        <v>122</v>
      </c>
      <c r="I545" s="7">
        <f>6210+540+600+300</f>
        <v>7650</v>
      </c>
      <c r="J545" s="7">
        <v>5745</v>
      </c>
      <c r="K545" s="361">
        <f t="shared" si="91"/>
        <v>75.098039215686271</v>
      </c>
      <c r="L545" s="7"/>
      <c r="M545" s="7"/>
      <c r="N545" s="361"/>
      <c r="O545" s="95">
        <f t="shared" si="87"/>
        <v>7650</v>
      </c>
      <c r="P545" s="95">
        <f t="shared" si="88"/>
        <v>5745</v>
      </c>
      <c r="Q545" s="361">
        <f t="shared" si="92"/>
        <v>75.098039215686271</v>
      </c>
    </row>
    <row r="546" spans="2:17" x14ac:dyDescent="0.2">
      <c r="B546" s="18">
        <f t="shared" si="90"/>
        <v>51</v>
      </c>
      <c r="C546" s="3"/>
      <c r="D546" s="3"/>
      <c r="E546" s="3"/>
      <c r="F546" s="90"/>
      <c r="G546" s="2">
        <v>640</v>
      </c>
      <c r="H546" s="3" t="s">
        <v>129</v>
      </c>
      <c r="I546" s="4">
        <f>1284+1000+500</f>
        <v>2784</v>
      </c>
      <c r="J546" s="4">
        <v>2047</v>
      </c>
      <c r="K546" s="361">
        <f t="shared" si="91"/>
        <v>73.527298850574709</v>
      </c>
      <c r="L546" s="4"/>
      <c r="M546" s="4"/>
      <c r="N546" s="361"/>
      <c r="O546" s="92">
        <f t="shared" si="87"/>
        <v>2784</v>
      </c>
      <c r="P546" s="92">
        <f t="shared" si="88"/>
        <v>2047</v>
      </c>
      <c r="Q546" s="361">
        <f t="shared" si="92"/>
        <v>73.527298850574709</v>
      </c>
    </row>
    <row r="547" spans="2:17" x14ac:dyDescent="0.2">
      <c r="B547" s="18">
        <f t="shared" si="90"/>
        <v>52</v>
      </c>
      <c r="C547" s="3"/>
      <c r="D547" s="3"/>
      <c r="E547" s="3"/>
      <c r="F547" s="90" t="s">
        <v>187</v>
      </c>
      <c r="G547" s="2">
        <v>710</v>
      </c>
      <c r="H547" s="3" t="s">
        <v>175</v>
      </c>
      <c r="I547" s="4"/>
      <c r="J547" s="4"/>
      <c r="K547" s="361"/>
      <c r="L547" s="4">
        <f>L548</f>
        <v>10000</v>
      </c>
      <c r="M547" s="4">
        <f>M548</f>
        <v>9538</v>
      </c>
      <c r="N547" s="361">
        <f>M547/L547*100</f>
        <v>95.38</v>
      </c>
      <c r="O547" s="92">
        <f t="shared" si="87"/>
        <v>10000</v>
      </c>
      <c r="P547" s="92">
        <f t="shared" si="88"/>
        <v>9538</v>
      </c>
      <c r="Q547" s="361">
        <f t="shared" si="92"/>
        <v>95.38</v>
      </c>
    </row>
    <row r="548" spans="2:17" x14ac:dyDescent="0.2">
      <c r="B548" s="18">
        <f t="shared" si="90"/>
        <v>53</v>
      </c>
      <c r="C548" s="6"/>
      <c r="D548" s="6"/>
      <c r="E548" s="6"/>
      <c r="F548" s="93"/>
      <c r="G548" s="5">
        <v>716</v>
      </c>
      <c r="H548" s="6" t="s">
        <v>215</v>
      </c>
      <c r="I548" s="7"/>
      <c r="J548" s="7"/>
      <c r="K548" s="361"/>
      <c r="L548" s="7">
        <f>L549</f>
        <v>10000</v>
      </c>
      <c r="M548" s="7">
        <f>M549</f>
        <v>9538</v>
      </c>
      <c r="N548" s="361">
        <f>M548/L548*100</f>
        <v>95.38</v>
      </c>
      <c r="O548" s="95">
        <f t="shared" si="87"/>
        <v>10000</v>
      </c>
      <c r="P548" s="95">
        <f t="shared" si="88"/>
        <v>9538</v>
      </c>
      <c r="Q548" s="361">
        <f t="shared" si="92"/>
        <v>95.38</v>
      </c>
    </row>
    <row r="549" spans="2:17" x14ac:dyDescent="0.2">
      <c r="B549" s="18">
        <f t="shared" si="90"/>
        <v>54</v>
      </c>
      <c r="C549" s="9"/>
      <c r="D549" s="9"/>
      <c r="E549" s="9"/>
      <c r="F549" s="194"/>
      <c r="G549" s="106"/>
      <c r="H549" s="9" t="s">
        <v>544</v>
      </c>
      <c r="I549" s="10"/>
      <c r="J549" s="10"/>
      <c r="K549" s="361"/>
      <c r="L549" s="10">
        <v>10000</v>
      </c>
      <c r="M549" s="10">
        <v>9538</v>
      </c>
      <c r="N549" s="361">
        <f>M549/L549*100</f>
        <v>95.38</v>
      </c>
      <c r="O549" s="108">
        <f t="shared" si="87"/>
        <v>10000</v>
      </c>
      <c r="P549" s="108">
        <f t="shared" si="88"/>
        <v>9538</v>
      </c>
      <c r="Q549" s="361">
        <f t="shared" si="92"/>
        <v>95.38</v>
      </c>
    </row>
    <row r="550" spans="2:17" s="22" customFormat="1" x14ac:dyDescent="0.2">
      <c r="B550" s="18">
        <f t="shared" si="90"/>
        <v>55</v>
      </c>
      <c r="C550" s="190"/>
      <c r="D550" s="190"/>
      <c r="E550" s="190" t="s">
        <v>90</v>
      </c>
      <c r="F550" s="191"/>
      <c r="G550" s="191"/>
      <c r="H550" s="190" t="s">
        <v>226</v>
      </c>
      <c r="I550" s="192">
        <f>I551+I552+I553+I558</f>
        <v>501988</v>
      </c>
      <c r="J550" s="192">
        <f>J551+J552+J553+J558</f>
        <v>489792</v>
      </c>
      <c r="K550" s="361">
        <f t="shared" ref="K550:K558" si="93">J550/I550*100</f>
        <v>97.57045985162992</v>
      </c>
      <c r="L550" s="192">
        <f>L559</f>
        <v>25000</v>
      </c>
      <c r="M550" s="192">
        <f>M559</f>
        <v>24979</v>
      </c>
      <c r="N550" s="361">
        <f>M550/L550*100</f>
        <v>99.916000000000011</v>
      </c>
      <c r="O550" s="193">
        <f t="shared" si="87"/>
        <v>526988</v>
      </c>
      <c r="P550" s="193">
        <f t="shared" si="88"/>
        <v>514771</v>
      </c>
      <c r="Q550" s="361">
        <f t="shared" si="92"/>
        <v>97.681730893303069</v>
      </c>
    </row>
    <row r="551" spans="2:17" s="22" customFormat="1" x14ac:dyDescent="0.2">
      <c r="B551" s="18">
        <f t="shared" si="90"/>
        <v>56</v>
      </c>
      <c r="C551" s="3"/>
      <c r="D551" s="3"/>
      <c r="E551" s="3"/>
      <c r="F551" s="90" t="s">
        <v>187</v>
      </c>
      <c r="G551" s="2">
        <v>610</v>
      </c>
      <c r="H551" s="3" t="s">
        <v>131</v>
      </c>
      <c r="I551" s="4">
        <f>251818+1364+7590+30211</f>
        <v>290983</v>
      </c>
      <c r="J551" s="4">
        <v>286564</v>
      </c>
      <c r="K551" s="361">
        <f t="shared" si="93"/>
        <v>98.4813545808518</v>
      </c>
      <c r="L551" s="4"/>
      <c r="M551" s="4"/>
      <c r="N551" s="361"/>
      <c r="O551" s="92">
        <f t="shared" si="87"/>
        <v>290983</v>
      </c>
      <c r="P551" s="92">
        <f t="shared" si="88"/>
        <v>286564</v>
      </c>
      <c r="Q551" s="361">
        <f t="shared" si="92"/>
        <v>98.4813545808518</v>
      </c>
    </row>
    <row r="552" spans="2:17" s="22" customFormat="1" x14ac:dyDescent="0.2">
      <c r="B552" s="18">
        <f t="shared" si="90"/>
        <v>57</v>
      </c>
      <c r="C552" s="3"/>
      <c r="D552" s="3"/>
      <c r="E552" s="3"/>
      <c r="F552" s="90" t="s">
        <v>187</v>
      </c>
      <c r="G552" s="2">
        <v>620</v>
      </c>
      <c r="H552" s="3" t="s">
        <v>124</v>
      </c>
      <c r="I552" s="4">
        <f>94388+522+2727+11076</f>
        <v>108713</v>
      </c>
      <c r="J552" s="4">
        <v>107376</v>
      </c>
      <c r="K552" s="361">
        <f t="shared" si="93"/>
        <v>98.770156283057219</v>
      </c>
      <c r="L552" s="4"/>
      <c r="M552" s="4"/>
      <c r="N552" s="361"/>
      <c r="O552" s="92">
        <f t="shared" si="87"/>
        <v>108713</v>
      </c>
      <c r="P552" s="92">
        <f t="shared" si="88"/>
        <v>107376</v>
      </c>
      <c r="Q552" s="361">
        <f t="shared" si="92"/>
        <v>98.770156283057219</v>
      </c>
    </row>
    <row r="553" spans="2:17" s="22" customFormat="1" x14ac:dyDescent="0.2">
      <c r="B553" s="18">
        <f t="shared" si="90"/>
        <v>58</v>
      </c>
      <c r="C553" s="3"/>
      <c r="D553" s="3"/>
      <c r="E553" s="3"/>
      <c r="F553" s="90" t="s">
        <v>187</v>
      </c>
      <c r="G553" s="2">
        <v>630</v>
      </c>
      <c r="H553" s="3" t="s">
        <v>121</v>
      </c>
      <c r="I553" s="4">
        <f>SUM(I554:I557)</f>
        <v>97601</v>
      </c>
      <c r="J553" s="4">
        <f>SUM(J554:J557)</f>
        <v>92031</v>
      </c>
      <c r="K553" s="361">
        <f t="shared" si="93"/>
        <v>94.29309125931087</v>
      </c>
      <c r="L553" s="4"/>
      <c r="M553" s="4"/>
      <c r="N553" s="361"/>
      <c r="O553" s="92">
        <f t="shared" si="87"/>
        <v>97601</v>
      </c>
      <c r="P553" s="92">
        <f t="shared" si="88"/>
        <v>92031</v>
      </c>
      <c r="Q553" s="361">
        <f t="shared" si="92"/>
        <v>94.29309125931087</v>
      </c>
    </row>
    <row r="554" spans="2:17" s="22" customFormat="1" x14ac:dyDescent="0.2">
      <c r="B554" s="18">
        <f t="shared" si="90"/>
        <v>59</v>
      </c>
      <c r="C554" s="6"/>
      <c r="D554" s="6"/>
      <c r="E554" s="6"/>
      <c r="F554" s="93"/>
      <c r="G554" s="5">
        <v>632</v>
      </c>
      <c r="H554" s="6" t="s">
        <v>134</v>
      </c>
      <c r="I554" s="7">
        <f>82815-40000</f>
        <v>42815</v>
      </c>
      <c r="J554" s="7">
        <v>41162</v>
      </c>
      <c r="K554" s="361">
        <f t="shared" si="93"/>
        <v>96.13920355015766</v>
      </c>
      <c r="L554" s="7"/>
      <c r="M554" s="7"/>
      <c r="N554" s="361"/>
      <c r="O554" s="95">
        <f t="shared" si="87"/>
        <v>42815</v>
      </c>
      <c r="P554" s="95">
        <f t="shared" si="88"/>
        <v>41162</v>
      </c>
      <c r="Q554" s="361">
        <f t="shared" si="92"/>
        <v>96.13920355015766</v>
      </c>
    </row>
    <row r="555" spans="2:17" s="22" customFormat="1" x14ac:dyDescent="0.2">
      <c r="B555" s="18">
        <f t="shared" si="90"/>
        <v>60</v>
      </c>
      <c r="C555" s="6"/>
      <c r="D555" s="6"/>
      <c r="E555" s="6"/>
      <c r="F555" s="93"/>
      <c r="G555" s="5">
        <v>633</v>
      </c>
      <c r="H555" s="6" t="s">
        <v>125</v>
      </c>
      <c r="I555" s="7">
        <f>29711-2380-118+173+2353+1722</f>
        <v>31461</v>
      </c>
      <c r="J555" s="7">
        <v>29290</v>
      </c>
      <c r="K555" s="361">
        <f t="shared" si="93"/>
        <v>93.099392899144974</v>
      </c>
      <c r="L555" s="7"/>
      <c r="M555" s="7"/>
      <c r="N555" s="361"/>
      <c r="O555" s="95">
        <f t="shared" si="87"/>
        <v>31461</v>
      </c>
      <c r="P555" s="95">
        <f t="shared" si="88"/>
        <v>29290</v>
      </c>
      <c r="Q555" s="361">
        <f t="shared" si="92"/>
        <v>93.099392899144974</v>
      </c>
    </row>
    <row r="556" spans="2:17" s="22" customFormat="1" x14ac:dyDescent="0.2">
      <c r="B556" s="18">
        <f t="shared" si="90"/>
        <v>61</v>
      </c>
      <c r="C556" s="6"/>
      <c r="D556" s="6"/>
      <c r="E556" s="6"/>
      <c r="F556" s="93"/>
      <c r="G556" s="5">
        <v>635</v>
      </c>
      <c r="H556" s="6" t="s">
        <v>133</v>
      </c>
      <c r="I556" s="7">
        <f>5500-3000+10600+200</f>
        <v>13300</v>
      </c>
      <c r="J556" s="7">
        <v>13198</v>
      </c>
      <c r="K556" s="361">
        <f t="shared" si="93"/>
        <v>99.233082706766922</v>
      </c>
      <c r="L556" s="7"/>
      <c r="M556" s="7"/>
      <c r="N556" s="361"/>
      <c r="O556" s="95">
        <f t="shared" si="87"/>
        <v>13300</v>
      </c>
      <c r="P556" s="95">
        <f t="shared" si="88"/>
        <v>13198</v>
      </c>
      <c r="Q556" s="361">
        <f t="shared" si="92"/>
        <v>99.233082706766922</v>
      </c>
    </row>
    <row r="557" spans="2:17" s="22" customFormat="1" x14ac:dyDescent="0.2">
      <c r="B557" s="18">
        <f t="shared" si="90"/>
        <v>62</v>
      </c>
      <c r="C557" s="6"/>
      <c r="D557" s="6"/>
      <c r="E557" s="6"/>
      <c r="F557" s="93"/>
      <c r="G557" s="5">
        <v>637</v>
      </c>
      <c r="H557" s="6" t="s">
        <v>122</v>
      </c>
      <c r="I557" s="7">
        <f>9580+145+300</f>
        <v>10025</v>
      </c>
      <c r="J557" s="7">
        <v>8381</v>
      </c>
      <c r="K557" s="361">
        <f t="shared" si="93"/>
        <v>83.600997506234407</v>
      </c>
      <c r="L557" s="7"/>
      <c r="M557" s="7"/>
      <c r="N557" s="361"/>
      <c r="O557" s="95">
        <f t="shared" si="87"/>
        <v>10025</v>
      </c>
      <c r="P557" s="95">
        <f t="shared" si="88"/>
        <v>8381</v>
      </c>
      <c r="Q557" s="361">
        <f t="shared" si="92"/>
        <v>83.600997506234407</v>
      </c>
    </row>
    <row r="558" spans="2:17" s="22" customFormat="1" x14ac:dyDescent="0.2">
      <c r="B558" s="18">
        <f t="shared" si="90"/>
        <v>63</v>
      </c>
      <c r="C558" s="3"/>
      <c r="D558" s="3"/>
      <c r="E558" s="3"/>
      <c r="F558" s="90" t="s">
        <v>187</v>
      </c>
      <c r="G558" s="2">
        <v>640</v>
      </c>
      <c r="H558" s="3" t="s">
        <v>129</v>
      </c>
      <c r="I558" s="4">
        <f>3991+700</f>
        <v>4691</v>
      </c>
      <c r="J558" s="4">
        <v>3821</v>
      </c>
      <c r="K558" s="361">
        <f t="shared" si="93"/>
        <v>81.453847793647398</v>
      </c>
      <c r="L558" s="4"/>
      <c r="M558" s="4"/>
      <c r="N558" s="361"/>
      <c r="O558" s="92">
        <f t="shared" si="87"/>
        <v>4691</v>
      </c>
      <c r="P558" s="92">
        <f t="shared" si="88"/>
        <v>3821</v>
      </c>
      <c r="Q558" s="361">
        <f t="shared" si="92"/>
        <v>81.453847793647398</v>
      </c>
    </row>
    <row r="559" spans="2:17" s="22" customFormat="1" x14ac:dyDescent="0.2">
      <c r="B559" s="18">
        <f t="shared" si="90"/>
        <v>64</v>
      </c>
      <c r="C559" s="3"/>
      <c r="D559" s="3"/>
      <c r="E559" s="3"/>
      <c r="F559" s="90" t="s">
        <v>187</v>
      </c>
      <c r="G559" s="2">
        <v>710</v>
      </c>
      <c r="H559" s="3" t="s">
        <v>175</v>
      </c>
      <c r="I559" s="4"/>
      <c r="J559" s="4"/>
      <c r="K559" s="361"/>
      <c r="L559" s="4">
        <f>L560</f>
        <v>25000</v>
      </c>
      <c r="M559" s="4">
        <f>M560</f>
        <v>24979</v>
      </c>
      <c r="N559" s="361">
        <f>M559/L559*100</f>
        <v>99.916000000000011</v>
      </c>
      <c r="O559" s="92">
        <f t="shared" si="87"/>
        <v>25000</v>
      </c>
      <c r="P559" s="92">
        <f t="shared" si="88"/>
        <v>24979</v>
      </c>
      <c r="Q559" s="361">
        <f t="shared" si="92"/>
        <v>99.916000000000011</v>
      </c>
    </row>
    <row r="560" spans="2:17" s="22" customFormat="1" x14ac:dyDescent="0.2">
      <c r="B560" s="18">
        <f t="shared" si="90"/>
        <v>65</v>
      </c>
      <c r="C560" s="6"/>
      <c r="D560" s="6"/>
      <c r="E560" s="6"/>
      <c r="F560" s="93"/>
      <c r="G560" s="5">
        <v>717</v>
      </c>
      <c r="H560" s="6" t="s">
        <v>182</v>
      </c>
      <c r="I560" s="7"/>
      <c r="J560" s="7"/>
      <c r="K560" s="361"/>
      <c r="L560" s="7">
        <f>L561</f>
        <v>25000</v>
      </c>
      <c r="M560" s="7">
        <f>M561</f>
        <v>24979</v>
      </c>
      <c r="N560" s="361">
        <f>M560/L560*100</f>
        <v>99.916000000000011</v>
      </c>
      <c r="O560" s="95">
        <f t="shared" ref="O560:O623" si="94">I560+L560</f>
        <v>25000</v>
      </c>
      <c r="P560" s="95">
        <f t="shared" ref="P560:P623" si="95">J560+M560</f>
        <v>24979</v>
      </c>
      <c r="Q560" s="361">
        <f t="shared" ref="Q560:Q591" si="96">P560/O560*100</f>
        <v>99.916000000000011</v>
      </c>
    </row>
    <row r="561" spans="2:17" x14ac:dyDescent="0.2">
      <c r="B561" s="18">
        <f t="shared" ref="B561:B624" si="97">B560+1</f>
        <v>66</v>
      </c>
      <c r="C561" s="9"/>
      <c r="D561" s="9"/>
      <c r="E561" s="9"/>
      <c r="F561" s="194"/>
      <c r="G561" s="106"/>
      <c r="H561" s="9" t="s">
        <v>536</v>
      </c>
      <c r="I561" s="10"/>
      <c r="J561" s="10"/>
      <c r="K561" s="361"/>
      <c r="L561" s="10">
        <f>36000-11000</f>
        <v>25000</v>
      </c>
      <c r="M561" s="10">
        <v>24979</v>
      </c>
      <c r="N561" s="361">
        <f>M561/L561*100</f>
        <v>99.916000000000011</v>
      </c>
      <c r="O561" s="108">
        <f t="shared" si="94"/>
        <v>25000</v>
      </c>
      <c r="P561" s="108">
        <f t="shared" si="95"/>
        <v>24979</v>
      </c>
      <c r="Q561" s="361">
        <f t="shared" si="96"/>
        <v>99.916000000000011</v>
      </c>
    </row>
    <row r="562" spans="2:17" x14ac:dyDescent="0.2">
      <c r="B562" s="18">
        <f t="shared" si="97"/>
        <v>67</v>
      </c>
      <c r="C562" s="190"/>
      <c r="D562" s="190"/>
      <c r="E562" s="190" t="s">
        <v>86</v>
      </c>
      <c r="F562" s="191"/>
      <c r="G562" s="191"/>
      <c r="H562" s="190" t="s">
        <v>64</v>
      </c>
      <c r="I562" s="192">
        <f>I563+I564+I565+I570</f>
        <v>285145</v>
      </c>
      <c r="J562" s="192">
        <f>J563+J564+J565+J570</f>
        <v>274553</v>
      </c>
      <c r="K562" s="361">
        <f t="shared" ref="K562:K570" si="98">J562/I562*100</f>
        <v>96.285398656823716</v>
      </c>
      <c r="L562" s="192">
        <f>L571</f>
        <v>18000</v>
      </c>
      <c r="M562" s="192">
        <f>M571</f>
        <v>17994</v>
      </c>
      <c r="N562" s="361">
        <f>M562/L562*100</f>
        <v>99.966666666666669</v>
      </c>
      <c r="O562" s="193">
        <f t="shared" si="94"/>
        <v>303145</v>
      </c>
      <c r="P562" s="193">
        <f t="shared" si="95"/>
        <v>292547</v>
      </c>
      <c r="Q562" s="361">
        <f t="shared" si="96"/>
        <v>96.50398324234277</v>
      </c>
    </row>
    <row r="563" spans="2:17" x14ac:dyDescent="0.2">
      <c r="B563" s="18">
        <f t="shared" si="97"/>
        <v>68</v>
      </c>
      <c r="C563" s="3"/>
      <c r="D563" s="3"/>
      <c r="E563" s="3"/>
      <c r="F563" s="90" t="s">
        <v>187</v>
      </c>
      <c r="G563" s="2">
        <v>610</v>
      </c>
      <c r="H563" s="3" t="s">
        <v>131</v>
      </c>
      <c r="I563" s="4">
        <f>142444+940+2989+8000</f>
        <v>154373</v>
      </c>
      <c r="J563" s="4">
        <v>153510</v>
      </c>
      <c r="K563" s="361">
        <f t="shared" si="98"/>
        <v>99.440964417352774</v>
      </c>
      <c r="L563" s="4"/>
      <c r="M563" s="4"/>
      <c r="N563" s="361"/>
      <c r="O563" s="92">
        <f t="shared" si="94"/>
        <v>154373</v>
      </c>
      <c r="P563" s="92">
        <f t="shared" si="95"/>
        <v>153510</v>
      </c>
      <c r="Q563" s="361">
        <f t="shared" si="96"/>
        <v>99.440964417352774</v>
      </c>
    </row>
    <row r="564" spans="2:17" x14ac:dyDescent="0.2">
      <c r="B564" s="18">
        <f t="shared" si="97"/>
        <v>69</v>
      </c>
      <c r="C564" s="3"/>
      <c r="D564" s="3"/>
      <c r="E564" s="3"/>
      <c r="F564" s="90" t="s">
        <v>187</v>
      </c>
      <c r="G564" s="2">
        <v>620</v>
      </c>
      <c r="H564" s="3" t="s">
        <v>124</v>
      </c>
      <c r="I564" s="4">
        <f>52772+367+1326+4000</f>
        <v>58465</v>
      </c>
      <c r="J564" s="4">
        <v>58241</v>
      </c>
      <c r="K564" s="361">
        <f t="shared" si="98"/>
        <v>99.616864790900536</v>
      </c>
      <c r="L564" s="4"/>
      <c r="M564" s="4"/>
      <c r="N564" s="361"/>
      <c r="O564" s="92">
        <f t="shared" si="94"/>
        <v>58465</v>
      </c>
      <c r="P564" s="92">
        <f t="shared" si="95"/>
        <v>58241</v>
      </c>
      <c r="Q564" s="361">
        <f t="shared" si="96"/>
        <v>99.616864790900536</v>
      </c>
    </row>
    <row r="565" spans="2:17" x14ac:dyDescent="0.2">
      <c r="B565" s="18">
        <f t="shared" si="97"/>
        <v>70</v>
      </c>
      <c r="C565" s="3"/>
      <c r="D565" s="3"/>
      <c r="E565" s="3"/>
      <c r="F565" s="90" t="s">
        <v>187</v>
      </c>
      <c r="G565" s="2">
        <v>630</v>
      </c>
      <c r="H565" s="3" t="s">
        <v>121</v>
      </c>
      <c r="I565" s="4">
        <f>SUM(I566:I569)</f>
        <v>70957</v>
      </c>
      <c r="J565" s="4">
        <f>SUM(J566:J569)</f>
        <v>61895</v>
      </c>
      <c r="K565" s="361">
        <f t="shared" si="98"/>
        <v>87.228885099426407</v>
      </c>
      <c r="L565" s="4"/>
      <c r="M565" s="4"/>
      <c r="N565" s="361"/>
      <c r="O565" s="92">
        <f t="shared" si="94"/>
        <v>70957</v>
      </c>
      <c r="P565" s="92">
        <f t="shared" si="95"/>
        <v>61895</v>
      </c>
      <c r="Q565" s="361">
        <f t="shared" si="96"/>
        <v>87.228885099426407</v>
      </c>
    </row>
    <row r="566" spans="2:17" x14ac:dyDescent="0.2">
      <c r="B566" s="18">
        <f t="shared" si="97"/>
        <v>71</v>
      </c>
      <c r="C566" s="6"/>
      <c r="D566" s="6"/>
      <c r="E566" s="6"/>
      <c r="F566" s="93"/>
      <c r="G566" s="5">
        <v>632</v>
      </c>
      <c r="H566" s="6" t="s">
        <v>134</v>
      </c>
      <c r="I566" s="7">
        <f>46280-20000</f>
        <v>26280</v>
      </c>
      <c r="J566" s="7">
        <v>20139</v>
      </c>
      <c r="K566" s="361">
        <f t="shared" si="98"/>
        <v>76.632420091324207</v>
      </c>
      <c r="L566" s="7"/>
      <c r="M566" s="7"/>
      <c r="N566" s="361"/>
      <c r="O566" s="95">
        <f t="shared" si="94"/>
        <v>26280</v>
      </c>
      <c r="P566" s="95">
        <f t="shared" si="95"/>
        <v>20139</v>
      </c>
      <c r="Q566" s="361">
        <f t="shared" si="96"/>
        <v>76.632420091324207</v>
      </c>
    </row>
    <row r="567" spans="2:17" x14ac:dyDescent="0.2">
      <c r="B567" s="18">
        <f t="shared" si="97"/>
        <v>72</v>
      </c>
      <c r="C567" s="6"/>
      <c r="D567" s="6"/>
      <c r="E567" s="6"/>
      <c r="F567" s="93"/>
      <c r="G567" s="5">
        <v>633</v>
      </c>
      <c r="H567" s="6" t="s">
        <v>125</v>
      </c>
      <c r="I567" s="7">
        <f>31605-4622-2191-480+3100-1946+861</f>
        <v>26327</v>
      </c>
      <c r="J567" s="7">
        <v>25848</v>
      </c>
      <c r="K567" s="361">
        <f t="shared" si="98"/>
        <v>98.180575075018041</v>
      </c>
      <c r="L567" s="7"/>
      <c r="M567" s="7"/>
      <c r="N567" s="361"/>
      <c r="O567" s="95">
        <f t="shared" si="94"/>
        <v>26327</v>
      </c>
      <c r="P567" s="95">
        <f t="shared" si="95"/>
        <v>25848</v>
      </c>
      <c r="Q567" s="361">
        <f t="shared" si="96"/>
        <v>98.180575075018041</v>
      </c>
    </row>
    <row r="568" spans="2:17" x14ac:dyDescent="0.2">
      <c r="B568" s="18">
        <f t="shared" si="97"/>
        <v>73</v>
      </c>
      <c r="C568" s="6"/>
      <c r="D568" s="6"/>
      <c r="E568" s="6"/>
      <c r="F568" s="93"/>
      <c r="G568" s="5">
        <v>635</v>
      </c>
      <c r="H568" s="6" t="s">
        <v>133</v>
      </c>
      <c r="I568" s="7">
        <f>9000+6000-3100</f>
        <v>11900</v>
      </c>
      <c r="J568" s="7">
        <v>11047</v>
      </c>
      <c r="K568" s="361">
        <f t="shared" si="98"/>
        <v>92.831932773109244</v>
      </c>
      <c r="L568" s="7"/>
      <c r="M568" s="7"/>
      <c r="N568" s="361"/>
      <c r="O568" s="95">
        <f t="shared" si="94"/>
        <v>11900</v>
      </c>
      <c r="P568" s="95">
        <f t="shared" si="95"/>
        <v>11047</v>
      </c>
      <c r="Q568" s="361">
        <f t="shared" si="96"/>
        <v>92.831932773109244</v>
      </c>
    </row>
    <row r="569" spans="2:17" x14ac:dyDescent="0.2">
      <c r="B569" s="18">
        <f t="shared" si="97"/>
        <v>74</v>
      </c>
      <c r="C569" s="6"/>
      <c r="D569" s="6"/>
      <c r="E569" s="6"/>
      <c r="F569" s="93"/>
      <c r="G569" s="5">
        <v>637</v>
      </c>
      <c r="H569" s="6" t="s">
        <v>122</v>
      </c>
      <c r="I569" s="7">
        <f>5550+600+300</f>
        <v>6450</v>
      </c>
      <c r="J569" s="7">
        <v>4861</v>
      </c>
      <c r="K569" s="361">
        <f t="shared" si="98"/>
        <v>75.36434108527132</v>
      </c>
      <c r="L569" s="7"/>
      <c r="M569" s="7"/>
      <c r="N569" s="361"/>
      <c r="O569" s="95">
        <f t="shared" si="94"/>
        <v>6450</v>
      </c>
      <c r="P569" s="95">
        <f t="shared" si="95"/>
        <v>4861</v>
      </c>
      <c r="Q569" s="361">
        <f t="shared" si="96"/>
        <v>75.36434108527132</v>
      </c>
    </row>
    <row r="570" spans="2:17" x14ac:dyDescent="0.2">
      <c r="B570" s="18">
        <f t="shared" si="97"/>
        <v>75</v>
      </c>
      <c r="C570" s="3"/>
      <c r="D570" s="3"/>
      <c r="E570" s="3"/>
      <c r="F570" s="90" t="s">
        <v>187</v>
      </c>
      <c r="G570" s="2">
        <v>640</v>
      </c>
      <c r="H570" s="3" t="s">
        <v>129</v>
      </c>
      <c r="I570" s="4">
        <f>450+700+200</f>
        <v>1350</v>
      </c>
      <c r="J570" s="4">
        <v>907</v>
      </c>
      <c r="K570" s="361">
        <f t="shared" si="98"/>
        <v>67.185185185185176</v>
      </c>
      <c r="L570" s="4"/>
      <c r="M570" s="4"/>
      <c r="N570" s="361"/>
      <c r="O570" s="92">
        <f t="shared" si="94"/>
        <v>1350</v>
      </c>
      <c r="P570" s="92">
        <f t="shared" si="95"/>
        <v>907</v>
      </c>
      <c r="Q570" s="361">
        <f t="shared" si="96"/>
        <v>67.185185185185176</v>
      </c>
    </row>
    <row r="571" spans="2:17" x14ac:dyDescent="0.2">
      <c r="B571" s="18">
        <f t="shared" si="97"/>
        <v>76</v>
      </c>
      <c r="C571" s="3"/>
      <c r="D571" s="3"/>
      <c r="E571" s="3"/>
      <c r="F571" s="90" t="s">
        <v>187</v>
      </c>
      <c r="G571" s="2">
        <v>710</v>
      </c>
      <c r="H571" s="3" t="s">
        <v>175</v>
      </c>
      <c r="I571" s="4"/>
      <c r="J571" s="4"/>
      <c r="K571" s="361"/>
      <c r="L571" s="4">
        <f>L572</f>
        <v>18000</v>
      </c>
      <c r="M571" s="4">
        <f>M572</f>
        <v>17994</v>
      </c>
      <c r="N571" s="361">
        <f>M571/L571*100</f>
        <v>99.966666666666669</v>
      </c>
      <c r="O571" s="92">
        <f t="shared" si="94"/>
        <v>18000</v>
      </c>
      <c r="P571" s="92">
        <f t="shared" si="95"/>
        <v>17994</v>
      </c>
      <c r="Q571" s="361">
        <f t="shared" si="96"/>
        <v>99.966666666666669</v>
      </c>
    </row>
    <row r="572" spans="2:17" x14ac:dyDescent="0.2">
      <c r="B572" s="18">
        <f t="shared" si="97"/>
        <v>77</v>
      </c>
      <c r="C572" s="3"/>
      <c r="D572" s="3"/>
      <c r="E572" s="3"/>
      <c r="F572" s="93"/>
      <c r="G572" s="5">
        <v>717</v>
      </c>
      <c r="H572" s="6" t="s">
        <v>182</v>
      </c>
      <c r="I572" s="7"/>
      <c r="J572" s="7"/>
      <c r="K572" s="361"/>
      <c r="L572" s="7">
        <f>L573</f>
        <v>18000</v>
      </c>
      <c r="M572" s="7">
        <f>M573</f>
        <v>17994</v>
      </c>
      <c r="N572" s="361">
        <f>M572/L572*100</f>
        <v>99.966666666666669</v>
      </c>
      <c r="O572" s="95">
        <f t="shared" si="94"/>
        <v>18000</v>
      </c>
      <c r="P572" s="95">
        <f t="shared" si="95"/>
        <v>17994</v>
      </c>
      <c r="Q572" s="361">
        <f t="shared" si="96"/>
        <v>99.966666666666669</v>
      </c>
    </row>
    <row r="573" spans="2:17" x14ac:dyDescent="0.2">
      <c r="B573" s="18">
        <f t="shared" si="97"/>
        <v>78</v>
      </c>
      <c r="C573" s="3"/>
      <c r="D573" s="3"/>
      <c r="E573" s="3"/>
      <c r="F573" s="194"/>
      <c r="G573" s="106"/>
      <c r="H573" s="9" t="s">
        <v>627</v>
      </c>
      <c r="I573" s="10"/>
      <c r="J573" s="10"/>
      <c r="K573" s="361"/>
      <c r="L573" s="10">
        <v>18000</v>
      </c>
      <c r="M573" s="10">
        <v>17994</v>
      </c>
      <c r="N573" s="361">
        <f>M573/L573*100</f>
        <v>99.966666666666669</v>
      </c>
      <c r="O573" s="108">
        <f t="shared" si="94"/>
        <v>18000</v>
      </c>
      <c r="P573" s="108">
        <f t="shared" si="95"/>
        <v>17994</v>
      </c>
      <c r="Q573" s="361">
        <f t="shared" si="96"/>
        <v>99.966666666666669</v>
      </c>
    </row>
    <row r="574" spans="2:17" x14ac:dyDescent="0.2">
      <c r="B574" s="18">
        <f t="shared" si="97"/>
        <v>79</v>
      </c>
      <c r="C574" s="190"/>
      <c r="D574" s="190"/>
      <c r="E574" s="190" t="s">
        <v>94</v>
      </c>
      <c r="F574" s="191"/>
      <c r="G574" s="191"/>
      <c r="H574" s="190" t="s">
        <v>95</v>
      </c>
      <c r="I574" s="192">
        <f>I575+I576+I577+I582</f>
        <v>369091</v>
      </c>
      <c r="J574" s="192">
        <f>J575+J576+J577+J582</f>
        <v>351140</v>
      </c>
      <c r="K574" s="361">
        <f t="shared" ref="K574:K601" si="99">J574/I574*100</f>
        <v>95.136429769352276</v>
      </c>
      <c r="L574" s="192"/>
      <c r="M574" s="192"/>
      <c r="N574" s="361"/>
      <c r="O574" s="193">
        <f t="shared" si="94"/>
        <v>369091</v>
      </c>
      <c r="P574" s="193">
        <f t="shared" si="95"/>
        <v>351140</v>
      </c>
      <c r="Q574" s="361">
        <f t="shared" si="96"/>
        <v>95.136429769352276</v>
      </c>
    </row>
    <row r="575" spans="2:17" x14ac:dyDescent="0.2">
      <c r="B575" s="18">
        <f t="shared" si="97"/>
        <v>80</v>
      </c>
      <c r="C575" s="3"/>
      <c r="D575" s="3"/>
      <c r="E575" s="3"/>
      <c r="F575" s="90" t="s">
        <v>187</v>
      </c>
      <c r="G575" s="2">
        <v>610</v>
      </c>
      <c r="H575" s="3" t="s">
        <v>131</v>
      </c>
      <c r="I575" s="4">
        <f>200718+879+4462-6878-795</f>
        <v>198386</v>
      </c>
      <c r="J575" s="4">
        <v>193625</v>
      </c>
      <c r="K575" s="361">
        <f t="shared" si="99"/>
        <v>97.60013307390642</v>
      </c>
      <c r="L575" s="4"/>
      <c r="M575" s="4"/>
      <c r="N575" s="361"/>
      <c r="O575" s="92">
        <f t="shared" si="94"/>
        <v>198386</v>
      </c>
      <c r="P575" s="92">
        <f t="shared" si="95"/>
        <v>193625</v>
      </c>
      <c r="Q575" s="361">
        <f t="shared" si="96"/>
        <v>97.60013307390642</v>
      </c>
    </row>
    <row r="576" spans="2:17" x14ac:dyDescent="0.2">
      <c r="B576" s="18">
        <f t="shared" si="97"/>
        <v>81</v>
      </c>
      <c r="C576" s="3"/>
      <c r="D576" s="3"/>
      <c r="E576" s="3"/>
      <c r="F576" s="90" t="s">
        <v>187</v>
      </c>
      <c r="G576" s="2">
        <v>620</v>
      </c>
      <c r="H576" s="3" t="s">
        <v>124</v>
      </c>
      <c r="I576" s="4">
        <f>75779+347+1856-2330-285</f>
        <v>75367</v>
      </c>
      <c r="J576" s="4">
        <v>71911</v>
      </c>
      <c r="K576" s="361">
        <f t="shared" si="99"/>
        <v>95.414438680058907</v>
      </c>
      <c r="L576" s="4"/>
      <c r="M576" s="4"/>
      <c r="N576" s="361"/>
      <c r="O576" s="92">
        <f t="shared" si="94"/>
        <v>75367</v>
      </c>
      <c r="P576" s="92">
        <f t="shared" si="95"/>
        <v>71911</v>
      </c>
      <c r="Q576" s="361">
        <f t="shared" si="96"/>
        <v>95.414438680058907</v>
      </c>
    </row>
    <row r="577" spans="2:17" x14ac:dyDescent="0.2">
      <c r="B577" s="18">
        <f t="shared" si="97"/>
        <v>82</v>
      </c>
      <c r="C577" s="3"/>
      <c r="D577" s="3"/>
      <c r="E577" s="3"/>
      <c r="F577" s="90" t="s">
        <v>187</v>
      </c>
      <c r="G577" s="2">
        <v>630</v>
      </c>
      <c r="H577" s="3" t="s">
        <v>121</v>
      </c>
      <c r="I577" s="4">
        <f>SUM(I578:I581)</f>
        <v>93470</v>
      </c>
      <c r="J577" s="4">
        <f>SUM(J578:J581)</f>
        <v>84223</v>
      </c>
      <c r="K577" s="361">
        <f t="shared" si="99"/>
        <v>90.106986198780362</v>
      </c>
      <c r="L577" s="4"/>
      <c r="M577" s="4"/>
      <c r="N577" s="361"/>
      <c r="O577" s="92">
        <f t="shared" si="94"/>
        <v>93470</v>
      </c>
      <c r="P577" s="92">
        <f t="shared" si="95"/>
        <v>84223</v>
      </c>
      <c r="Q577" s="361">
        <f t="shared" si="96"/>
        <v>90.106986198780362</v>
      </c>
    </row>
    <row r="578" spans="2:17" x14ac:dyDescent="0.2">
      <c r="B578" s="18">
        <f t="shared" si="97"/>
        <v>83</v>
      </c>
      <c r="C578" s="6"/>
      <c r="D578" s="6"/>
      <c r="E578" s="6"/>
      <c r="F578" s="93"/>
      <c r="G578" s="5">
        <v>632</v>
      </c>
      <c r="H578" s="6" t="s">
        <v>134</v>
      </c>
      <c r="I578" s="7">
        <f>68555-20000</f>
        <v>48555</v>
      </c>
      <c r="J578" s="7">
        <v>42161</v>
      </c>
      <c r="K578" s="361">
        <f t="shared" si="99"/>
        <v>86.831428277211415</v>
      </c>
      <c r="L578" s="7"/>
      <c r="M578" s="7"/>
      <c r="N578" s="361"/>
      <c r="O578" s="95">
        <f t="shared" si="94"/>
        <v>48555</v>
      </c>
      <c r="P578" s="95">
        <f t="shared" si="95"/>
        <v>42161</v>
      </c>
      <c r="Q578" s="361">
        <f t="shared" si="96"/>
        <v>86.831428277211415</v>
      </c>
    </row>
    <row r="579" spans="2:17" x14ac:dyDescent="0.2">
      <c r="B579" s="18">
        <f t="shared" si="97"/>
        <v>84</v>
      </c>
      <c r="C579" s="6"/>
      <c r="D579" s="6"/>
      <c r="E579" s="6"/>
      <c r="F579" s="93"/>
      <c r="G579" s="5">
        <v>633</v>
      </c>
      <c r="H579" s="6" t="s">
        <v>125</v>
      </c>
      <c r="I579" s="7">
        <f>32666-3684-2994+1767+870+4305</f>
        <v>32930</v>
      </c>
      <c r="J579" s="7">
        <v>32833</v>
      </c>
      <c r="K579" s="361">
        <f t="shared" si="99"/>
        <v>99.705435772851501</v>
      </c>
      <c r="L579" s="7"/>
      <c r="M579" s="7"/>
      <c r="N579" s="361"/>
      <c r="O579" s="95">
        <f t="shared" si="94"/>
        <v>32930</v>
      </c>
      <c r="P579" s="95">
        <f t="shared" si="95"/>
        <v>32833</v>
      </c>
      <c r="Q579" s="361">
        <f t="shared" si="96"/>
        <v>99.705435772851501</v>
      </c>
    </row>
    <row r="580" spans="2:17" x14ac:dyDescent="0.2">
      <c r="B580" s="18">
        <f t="shared" si="97"/>
        <v>85</v>
      </c>
      <c r="C580" s="6"/>
      <c r="D580" s="6"/>
      <c r="E580" s="6"/>
      <c r="F580" s="93"/>
      <c r="G580" s="5">
        <v>635</v>
      </c>
      <c r="H580" s="6" t="s">
        <v>133</v>
      </c>
      <c r="I580" s="7">
        <f>5000-2000+1570</f>
        <v>4570</v>
      </c>
      <c r="J580" s="7">
        <v>4038</v>
      </c>
      <c r="K580" s="361">
        <f t="shared" si="99"/>
        <v>88.358862144420129</v>
      </c>
      <c r="L580" s="7"/>
      <c r="M580" s="7"/>
      <c r="N580" s="361"/>
      <c r="O580" s="95">
        <f t="shared" si="94"/>
        <v>4570</v>
      </c>
      <c r="P580" s="95">
        <f t="shared" si="95"/>
        <v>4038</v>
      </c>
      <c r="Q580" s="361">
        <f t="shared" si="96"/>
        <v>88.358862144420129</v>
      </c>
    </row>
    <row r="581" spans="2:17" x14ac:dyDescent="0.2">
      <c r="B581" s="18">
        <f t="shared" si="97"/>
        <v>86</v>
      </c>
      <c r="C581" s="6"/>
      <c r="D581" s="6"/>
      <c r="E581" s="6"/>
      <c r="F581" s="93"/>
      <c r="G581" s="5">
        <v>637</v>
      </c>
      <c r="H581" s="6" t="s">
        <v>122</v>
      </c>
      <c r="I581" s="7">
        <f>7460+145-190</f>
        <v>7415</v>
      </c>
      <c r="J581" s="7">
        <v>5191</v>
      </c>
      <c r="K581" s="361">
        <f t="shared" si="99"/>
        <v>70.00674308833446</v>
      </c>
      <c r="L581" s="7"/>
      <c r="M581" s="7"/>
      <c r="N581" s="361"/>
      <c r="O581" s="95">
        <f t="shared" si="94"/>
        <v>7415</v>
      </c>
      <c r="P581" s="95">
        <f t="shared" si="95"/>
        <v>5191</v>
      </c>
      <c r="Q581" s="361">
        <f t="shared" si="96"/>
        <v>70.00674308833446</v>
      </c>
    </row>
    <row r="582" spans="2:17" x14ac:dyDescent="0.2">
      <c r="B582" s="18">
        <f t="shared" si="97"/>
        <v>87</v>
      </c>
      <c r="C582" s="3"/>
      <c r="D582" s="3"/>
      <c r="E582" s="3"/>
      <c r="F582" s="90" t="s">
        <v>187</v>
      </c>
      <c r="G582" s="2">
        <v>640</v>
      </c>
      <c r="H582" s="3" t="s">
        <v>129</v>
      </c>
      <c r="I582" s="4">
        <f>5578-4000+290</f>
        <v>1868</v>
      </c>
      <c r="J582" s="4">
        <v>1381</v>
      </c>
      <c r="K582" s="361">
        <f t="shared" si="99"/>
        <v>73.929336188436835</v>
      </c>
      <c r="L582" s="4"/>
      <c r="M582" s="4"/>
      <c r="N582" s="361"/>
      <c r="O582" s="92">
        <f t="shared" si="94"/>
        <v>1868</v>
      </c>
      <c r="P582" s="92">
        <f t="shared" si="95"/>
        <v>1381</v>
      </c>
      <c r="Q582" s="361">
        <f t="shared" si="96"/>
        <v>73.929336188436835</v>
      </c>
    </row>
    <row r="583" spans="2:17" x14ac:dyDescent="0.2">
      <c r="B583" s="18">
        <f t="shared" si="97"/>
        <v>88</v>
      </c>
      <c r="C583" s="190"/>
      <c r="D583" s="190"/>
      <c r="E583" s="190" t="s">
        <v>97</v>
      </c>
      <c r="F583" s="191"/>
      <c r="G583" s="191"/>
      <c r="H583" s="190" t="s">
        <v>98</v>
      </c>
      <c r="I583" s="192">
        <f>I584+I585+I586+I592</f>
        <v>368071</v>
      </c>
      <c r="J583" s="192">
        <f>J584+J585+J586+J592</f>
        <v>358359</v>
      </c>
      <c r="K583" s="361">
        <f t="shared" si="99"/>
        <v>97.361378647054508</v>
      </c>
      <c r="L583" s="192"/>
      <c r="M583" s="192"/>
      <c r="N583" s="361"/>
      <c r="O583" s="193">
        <f t="shared" si="94"/>
        <v>368071</v>
      </c>
      <c r="P583" s="193">
        <f t="shared" si="95"/>
        <v>358359</v>
      </c>
      <c r="Q583" s="361">
        <f t="shared" si="96"/>
        <v>97.361378647054508</v>
      </c>
    </row>
    <row r="584" spans="2:17" x14ac:dyDescent="0.2">
      <c r="B584" s="18">
        <f t="shared" si="97"/>
        <v>89</v>
      </c>
      <c r="C584" s="3"/>
      <c r="D584" s="3"/>
      <c r="E584" s="3"/>
      <c r="F584" s="90" t="s">
        <v>187</v>
      </c>
      <c r="G584" s="2">
        <v>610</v>
      </c>
      <c r="H584" s="3" t="s">
        <v>131</v>
      </c>
      <c r="I584" s="4">
        <f>193984+438+3022+5633</f>
        <v>203077</v>
      </c>
      <c r="J584" s="4">
        <v>199558</v>
      </c>
      <c r="K584" s="361">
        <f t="shared" si="99"/>
        <v>98.267159747287977</v>
      </c>
      <c r="L584" s="4"/>
      <c r="M584" s="4"/>
      <c r="N584" s="361"/>
      <c r="O584" s="92">
        <f t="shared" si="94"/>
        <v>203077</v>
      </c>
      <c r="P584" s="92">
        <f t="shared" si="95"/>
        <v>199558</v>
      </c>
      <c r="Q584" s="361">
        <f t="shared" si="96"/>
        <v>98.267159747287977</v>
      </c>
    </row>
    <row r="585" spans="2:17" ht="15" customHeight="1" x14ac:dyDescent="0.2">
      <c r="B585" s="18">
        <f t="shared" si="97"/>
        <v>90</v>
      </c>
      <c r="C585" s="3"/>
      <c r="D585" s="3"/>
      <c r="E585" s="3"/>
      <c r="F585" s="90" t="s">
        <v>187</v>
      </c>
      <c r="G585" s="2">
        <v>620</v>
      </c>
      <c r="H585" s="3" t="s">
        <v>124</v>
      </c>
      <c r="I585" s="4">
        <f>72402+182+1554+1228</f>
        <v>75366</v>
      </c>
      <c r="J585" s="4">
        <v>75102</v>
      </c>
      <c r="K585" s="361">
        <f t="shared" si="99"/>
        <v>99.649709418039961</v>
      </c>
      <c r="L585" s="4"/>
      <c r="M585" s="4"/>
      <c r="N585" s="361"/>
      <c r="O585" s="92">
        <f t="shared" si="94"/>
        <v>75366</v>
      </c>
      <c r="P585" s="92">
        <f t="shared" si="95"/>
        <v>75102</v>
      </c>
      <c r="Q585" s="361">
        <f t="shared" si="96"/>
        <v>99.649709418039961</v>
      </c>
    </row>
    <row r="586" spans="2:17" x14ac:dyDescent="0.2">
      <c r="B586" s="18">
        <f t="shared" si="97"/>
        <v>91</v>
      </c>
      <c r="C586" s="3"/>
      <c r="D586" s="3"/>
      <c r="E586" s="3"/>
      <c r="F586" s="90" t="s">
        <v>187</v>
      </c>
      <c r="G586" s="2">
        <v>630</v>
      </c>
      <c r="H586" s="3" t="s">
        <v>121</v>
      </c>
      <c r="I586" s="4">
        <f>SUM(I587:I591)</f>
        <v>83453</v>
      </c>
      <c r="J586" s="4">
        <f>SUM(J587:J591)</f>
        <v>77927</v>
      </c>
      <c r="K586" s="361">
        <f t="shared" si="99"/>
        <v>93.378308748636968</v>
      </c>
      <c r="L586" s="4"/>
      <c r="M586" s="4"/>
      <c r="N586" s="361"/>
      <c r="O586" s="92">
        <f t="shared" si="94"/>
        <v>83453</v>
      </c>
      <c r="P586" s="92">
        <f t="shared" si="95"/>
        <v>77927</v>
      </c>
      <c r="Q586" s="361">
        <f t="shared" si="96"/>
        <v>93.378308748636968</v>
      </c>
    </row>
    <row r="587" spans="2:17" x14ac:dyDescent="0.2">
      <c r="B587" s="18">
        <f t="shared" si="97"/>
        <v>92</v>
      </c>
      <c r="C587" s="6"/>
      <c r="D587" s="6"/>
      <c r="E587" s="6"/>
      <c r="F587" s="93"/>
      <c r="G587" s="5">
        <v>632</v>
      </c>
      <c r="H587" s="6" t="s">
        <v>134</v>
      </c>
      <c r="I587" s="7">
        <f>60240-25000</f>
        <v>35240</v>
      </c>
      <c r="J587" s="7">
        <v>35239</v>
      </c>
      <c r="K587" s="361">
        <f t="shared" si="99"/>
        <v>99.997162315550511</v>
      </c>
      <c r="L587" s="7"/>
      <c r="M587" s="7"/>
      <c r="N587" s="361"/>
      <c r="O587" s="95">
        <f t="shared" si="94"/>
        <v>35240</v>
      </c>
      <c r="P587" s="95">
        <f t="shared" si="95"/>
        <v>35239</v>
      </c>
      <c r="Q587" s="361">
        <f t="shared" si="96"/>
        <v>99.997162315550511</v>
      </c>
    </row>
    <row r="588" spans="2:17" x14ac:dyDescent="0.2">
      <c r="B588" s="18">
        <f t="shared" si="97"/>
        <v>93</v>
      </c>
      <c r="C588" s="6"/>
      <c r="D588" s="6"/>
      <c r="E588" s="6"/>
      <c r="F588" s="93"/>
      <c r="G588" s="5">
        <v>633</v>
      </c>
      <c r="H588" s="6" t="s">
        <v>125</v>
      </c>
      <c r="I588" s="7">
        <f>29522-5319-70-3272+2318+1152+1722</f>
        <v>26053</v>
      </c>
      <c r="J588" s="7">
        <v>24132</v>
      </c>
      <c r="K588" s="361">
        <f t="shared" si="99"/>
        <v>92.626568917207237</v>
      </c>
      <c r="L588" s="7"/>
      <c r="M588" s="7"/>
      <c r="N588" s="361"/>
      <c r="O588" s="95">
        <f t="shared" si="94"/>
        <v>26053</v>
      </c>
      <c r="P588" s="95">
        <f t="shared" si="95"/>
        <v>24132</v>
      </c>
      <c r="Q588" s="361">
        <f t="shared" si="96"/>
        <v>92.626568917207237</v>
      </c>
    </row>
    <row r="589" spans="2:17" x14ac:dyDescent="0.2">
      <c r="B589" s="18">
        <f t="shared" si="97"/>
        <v>94</v>
      </c>
      <c r="C589" s="6"/>
      <c r="D589" s="6"/>
      <c r="E589" s="6"/>
      <c r="F589" s="93"/>
      <c r="G589" s="5">
        <v>634</v>
      </c>
      <c r="H589" s="6" t="s">
        <v>132</v>
      </c>
      <c r="I589" s="7">
        <f>70+100</f>
        <v>170</v>
      </c>
      <c r="J589" s="7">
        <v>170</v>
      </c>
      <c r="K589" s="361">
        <f t="shared" si="99"/>
        <v>100</v>
      </c>
      <c r="L589" s="7"/>
      <c r="M589" s="7"/>
      <c r="N589" s="361"/>
      <c r="O589" s="95">
        <f t="shared" si="94"/>
        <v>170</v>
      </c>
      <c r="P589" s="95">
        <f t="shared" si="95"/>
        <v>170</v>
      </c>
      <c r="Q589" s="361">
        <f t="shared" si="96"/>
        <v>100</v>
      </c>
    </row>
    <row r="590" spans="2:17" x14ac:dyDescent="0.2">
      <c r="B590" s="18">
        <f t="shared" si="97"/>
        <v>95</v>
      </c>
      <c r="C590" s="6"/>
      <c r="D590" s="6"/>
      <c r="E590" s="6"/>
      <c r="F590" s="93"/>
      <c r="G590" s="5">
        <v>635</v>
      </c>
      <c r="H590" s="6" t="s">
        <v>133</v>
      </c>
      <c r="I590" s="7">
        <f>9500+5000-350</f>
        <v>14150</v>
      </c>
      <c r="J590" s="7">
        <v>11542</v>
      </c>
      <c r="K590" s="361">
        <f t="shared" si="99"/>
        <v>81.568904593639573</v>
      </c>
      <c r="L590" s="7"/>
      <c r="M590" s="7"/>
      <c r="N590" s="361"/>
      <c r="O590" s="95">
        <f t="shared" si="94"/>
        <v>14150</v>
      </c>
      <c r="P590" s="95">
        <f t="shared" si="95"/>
        <v>11542</v>
      </c>
      <c r="Q590" s="361">
        <f t="shared" si="96"/>
        <v>81.568904593639573</v>
      </c>
    </row>
    <row r="591" spans="2:17" x14ac:dyDescent="0.2">
      <c r="B591" s="18">
        <f t="shared" si="97"/>
        <v>96</v>
      </c>
      <c r="C591" s="6"/>
      <c r="D591" s="6"/>
      <c r="E591" s="6"/>
      <c r="F591" s="93"/>
      <c r="G591" s="5">
        <v>637</v>
      </c>
      <c r="H591" s="6" t="s">
        <v>122</v>
      </c>
      <c r="I591" s="7">
        <f>7110+80+650</f>
        <v>7840</v>
      </c>
      <c r="J591" s="7">
        <v>6844</v>
      </c>
      <c r="K591" s="361">
        <f t="shared" si="99"/>
        <v>87.295918367346943</v>
      </c>
      <c r="L591" s="7"/>
      <c r="M591" s="7"/>
      <c r="N591" s="361"/>
      <c r="O591" s="95">
        <f t="shared" si="94"/>
        <v>7840</v>
      </c>
      <c r="P591" s="95">
        <f t="shared" si="95"/>
        <v>6844</v>
      </c>
      <c r="Q591" s="361">
        <f t="shared" si="96"/>
        <v>87.295918367346943</v>
      </c>
    </row>
    <row r="592" spans="2:17" x14ac:dyDescent="0.2">
      <c r="B592" s="18">
        <f t="shared" si="97"/>
        <v>97</v>
      </c>
      <c r="C592" s="3"/>
      <c r="D592" s="3"/>
      <c r="E592" s="3"/>
      <c r="F592" s="90" t="s">
        <v>187</v>
      </c>
      <c r="G592" s="2">
        <v>640</v>
      </c>
      <c r="H592" s="3" t="s">
        <v>129</v>
      </c>
      <c r="I592" s="4">
        <f>3175+1300+1700</f>
        <v>6175</v>
      </c>
      <c r="J592" s="4">
        <v>5772</v>
      </c>
      <c r="K592" s="361">
        <f t="shared" si="99"/>
        <v>93.473684210526315</v>
      </c>
      <c r="L592" s="4"/>
      <c r="M592" s="4"/>
      <c r="N592" s="361"/>
      <c r="O592" s="92">
        <f t="shared" si="94"/>
        <v>6175</v>
      </c>
      <c r="P592" s="92">
        <f t="shared" si="95"/>
        <v>5772</v>
      </c>
      <c r="Q592" s="361">
        <f t="shared" ref="Q592:Q623" si="100">P592/O592*100</f>
        <v>93.473684210526315</v>
      </c>
    </row>
    <row r="593" spans="2:17" x14ac:dyDescent="0.2">
      <c r="B593" s="18">
        <f t="shared" si="97"/>
        <v>98</v>
      </c>
      <c r="C593" s="190"/>
      <c r="D593" s="190"/>
      <c r="E593" s="190" t="s">
        <v>84</v>
      </c>
      <c r="F593" s="191"/>
      <c r="G593" s="191"/>
      <c r="H593" s="190" t="s">
        <v>85</v>
      </c>
      <c r="I593" s="192">
        <f>I594+I595+I596+I601</f>
        <v>561229</v>
      </c>
      <c r="J593" s="192">
        <f>J594+J595+J596+J601</f>
        <v>542895</v>
      </c>
      <c r="K593" s="361">
        <f t="shared" si="99"/>
        <v>96.7332407983194</v>
      </c>
      <c r="L593" s="192">
        <f>L602</f>
        <v>73966</v>
      </c>
      <c r="M593" s="192">
        <f>M602</f>
        <v>69918</v>
      </c>
      <c r="N593" s="361">
        <f>M593/L593*100</f>
        <v>94.527215206986995</v>
      </c>
      <c r="O593" s="193">
        <f t="shared" si="94"/>
        <v>635195</v>
      </c>
      <c r="P593" s="193">
        <f t="shared" si="95"/>
        <v>612813</v>
      </c>
      <c r="Q593" s="361">
        <f t="shared" si="100"/>
        <v>96.476357653948781</v>
      </c>
    </row>
    <row r="594" spans="2:17" x14ac:dyDescent="0.2">
      <c r="B594" s="18">
        <f t="shared" si="97"/>
        <v>99</v>
      </c>
      <c r="C594" s="3"/>
      <c r="D594" s="3"/>
      <c r="E594" s="3"/>
      <c r="F594" s="90" t="s">
        <v>187</v>
      </c>
      <c r="G594" s="2">
        <v>610</v>
      </c>
      <c r="H594" s="3" t="s">
        <v>131</v>
      </c>
      <c r="I594" s="4">
        <f>299332+1086+7856+16609</f>
        <v>324883</v>
      </c>
      <c r="J594" s="4">
        <v>317855</v>
      </c>
      <c r="K594" s="361">
        <f t="shared" si="99"/>
        <v>97.836759695028675</v>
      </c>
      <c r="L594" s="4"/>
      <c r="M594" s="4"/>
      <c r="N594" s="361"/>
      <c r="O594" s="92">
        <f t="shared" si="94"/>
        <v>324883</v>
      </c>
      <c r="P594" s="92">
        <f t="shared" si="95"/>
        <v>317855</v>
      </c>
      <c r="Q594" s="361">
        <f t="shared" si="100"/>
        <v>97.836759695028675</v>
      </c>
    </row>
    <row r="595" spans="2:17" x14ac:dyDescent="0.2">
      <c r="B595" s="18">
        <f t="shared" si="97"/>
        <v>100</v>
      </c>
      <c r="C595" s="3"/>
      <c r="D595" s="3"/>
      <c r="E595" s="3"/>
      <c r="F595" s="90" t="s">
        <v>187</v>
      </c>
      <c r="G595" s="2">
        <v>620</v>
      </c>
      <c r="H595" s="3" t="s">
        <v>124</v>
      </c>
      <c r="I595" s="4">
        <f>112829+426+3183+707</f>
        <v>117145</v>
      </c>
      <c r="J595" s="4">
        <v>112696</v>
      </c>
      <c r="K595" s="361">
        <f t="shared" si="99"/>
        <v>96.202142643732131</v>
      </c>
      <c r="L595" s="4"/>
      <c r="M595" s="4"/>
      <c r="N595" s="361"/>
      <c r="O595" s="92">
        <f t="shared" si="94"/>
        <v>117145</v>
      </c>
      <c r="P595" s="92">
        <f t="shared" si="95"/>
        <v>112696</v>
      </c>
      <c r="Q595" s="361">
        <f t="shared" si="100"/>
        <v>96.202142643732131</v>
      </c>
    </row>
    <row r="596" spans="2:17" x14ac:dyDescent="0.2">
      <c r="B596" s="18">
        <f t="shared" si="97"/>
        <v>101</v>
      </c>
      <c r="C596" s="3"/>
      <c r="D596" s="3"/>
      <c r="E596" s="3"/>
      <c r="F596" s="90" t="s">
        <v>187</v>
      </c>
      <c r="G596" s="2">
        <v>630</v>
      </c>
      <c r="H596" s="3" t="s">
        <v>121</v>
      </c>
      <c r="I596" s="4">
        <f>SUM(I597:I600)</f>
        <v>113192</v>
      </c>
      <c r="J596" s="4">
        <f>SUM(J597:J600)</f>
        <v>108000</v>
      </c>
      <c r="K596" s="361">
        <f t="shared" si="99"/>
        <v>95.41310339953354</v>
      </c>
      <c r="L596" s="4"/>
      <c r="M596" s="4"/>
      <c r="N596" s="361"/>
      <c r="O596" s="92">
        <f t="shared" si="94"/>
        <v>113192</v>
      </c>
      <c r="P596" s="92">
        <f t="shared" si="95"/>
        <v>108000</v>
      </c>
      <c r="Q596" s="361">
        <f t="shared" si="100"/>
        <v>95.41310339953354</v>
      </c>
    </row>
    <row r="597" spans="2:17" x14ac:dyDescent="0.2">
      <c r="B597" s="18">
        <f t="shared" si="97"/>
        <v>102</v>
      </c>
      <c r="C597" s="6"/>
      <c r="D597" s="6"/>
      <c r="E597" s="6"/>
      <c r="F597" s="93"/>
      <c r="G597" s="5">
        <v>632</v>
      </c>
      <c r="H597" s="6" t="s">
        <v>134</v>
      </c>
      <c r="I597" s="7">
        <f>76880-30000</f>
        <v>46880</v>
      </c>
      <c r="J597" s="7">
        <v>43819</v>
      </c>
      <c r="K597" s="361">
        <f t="shared" si="99"/>
        <v>93.470563139931741</v>
      </c>
      <c r="L597" s="7"/>
      <c r="M597" s="7"/>
      <c r="N597" s="361"/>
      <c r="O597" s="95">
        <f t="shared" si="94"/>
        <v>46880</v>
      </c>
      <c r="P597" s="95">
        <f t="shared" si="95"/>
        <v>43819</v>
      </c>
      <c r="Q597" s="361">
        <f t="shared" si="100"/>
        <v>93.470563139931741</v>
      </c>
    </row>
    <row r="598" spans="2:17" x14ac:dyDescent="0.2">
      <c r="B598" s="18">
        <f t="shared" si="97"/>
        <v>103</v>
      </c>
      <c r="C598" s="6"/>
      <c r="D598" s="6"/>
      <c r="E598" s="6"/>
      <c r="F598" s="93"/>
      <c r="G598" s="5">
        <v>633</v>
      </c>
      <c r="H598" s="6" t="s">
        <v>125</v>
      </c>
      <c r="I598" s="7">
        <f>37545-2823-3280+5088-2300+6291+5166</f>
        <v>45687</v>
      </c>
      <c r="J598" s="7">
        <v>44937</v>
      </c>
      <c r="K598" s="361">
        <f t="shared" si="99"/>
        <v>98.358395167115376</v>
      </c>
      <c r="L598" s="7"/>
      <c r="M598" s="7"/>
      <c r="N598" s="361"/>
      <c r="O598" s="95">
        <f t="shared" si="94"/>
        <v>45687</v>
      </c>
      <c r="P598" s="95">
        <f t="shared" si="95"/>
        <v>44937</v>
      </c>
      <c r="Q598" s="361">
        <f t="shared" si="100"/>
        <v>98.358395167115376</v>
      </c>
    </row>
    <row r="599" spans="2:17" x14ac:dyDescent="0.2">
      <c r="B599" s="18">
        <f t="shared" si="97"/>
        <v>104</v>
      </c>
      <c r="C599" s="6"/>
      <c r="D599" s="6"/>
      <c r="E599" s="6"/>
      <c r="F599" s="93"/>
      <c r="G599" s="5">
        <v>635</v>
      </c>
      <c r="H599" s="6" t="s">
        <v>133</v>
      </c>
      <c r="I599" s="7">
        <f>11000-5000+2300+500</f>
        <v>8800</v>
      </c>
      <c r="J599" s="7">
        <v>8773</v>
      </c>
      <c r="K599" s="361">
        <f t="shared" si="99"/>
        <v>99.693181818181813</v>
      </c>
      <c r="L599" s="7"/>
      <c r="M599" s="7"/>
      <c r="N599" s="361"/>
      <c r="O599" s="95">
        <f t="shared" si="94"/>
        <v>8800</v>
      </c>
      <c r="P599" s="95">
        <f t="shared" si="95"/>
        <v>8773</v>
      </c>
      <c r="Q599" s="361">
        <f t="shared" si="100"/>
        <v>99.693181818181813</v>
      </c>
    </row>
    <row r="600" spans="2:17" x14ac:dyDescent="0.2">
      <c r="B600" s="18">
        <f t="shared" si="97"/>
        <v>105</v>
      </c>
      <c r="C600" s="6"/>
      <c r="D600" s="6"/>
      <c r="E600" s="6"/>
      <c r="F600" s="93"/>
      <c r="G600" s="5">
        <v>637</v>
      </c>
      <c r="H600" s="6" t="s">
        <v>122</v>
      </c>
      <c r="I600" s="7">
        <f>11045+480+300</f>
        <v>11825</v>
      </c>
      <c r="J600" s="7">
        <v>10471</v>
      </c>
      <c r="K600" s="361">
        <f t="shared" si="99"/>
        <v>88.549682875264267</v>
      </c>
      <c r="L600" s="7"/>
      <c r="M600" s="7"/>
      <c r="N600" s="361"/>
      <c r="O600" s="95">
        <f t="shared" si="94"/>
        <v>11825</v>
      </c>
      <c r="P600" s="95">
        <f t="shared" si="95"/>
        <v>10471</v>
      </c>
      <c r="Q600" s="361">
        <f t="shared" si="100"/>
        <v>88.549682875264267</v>
      </c>
    </row>
    <row r="601" spans="2:17" x14ac:dyDescent="0.2">
      <c r="B601" s="18">
        <f t="shared" si="97"/>
        <v>106</v>
      </c>
      <c r="C601" s="3"/>
      <c r="D601" s="3"/>
      <c r="E601" s="3"/>
      <c r="F601" s="90" t="s">
        <v>187</v>
      </c>
      <c r="G601" s="2">
        <v>640</v>
      </c>
      <c r="H601" s="3" t="s">
        <v>129</v>
      </c>
      <c r="I601" s="4">
        <f>6509-1200+700</f>
        <v>6009</v>
      </c>
      <c r="J601" s="4">
        <v>4344</v>
      </c>
      <c r="K601" s="361">
        <f t="shared" si="99"/>
        <v>72.291562656015969</v>
      </c>
      <c r="L601" s="4"/>
      <c r="M601" s="4"/>
      <c r="N601" s="361"/>
      <c r="O601" s="92">
        <f t="shared" si="94"/>
        <v>6009</v>
      </c>
      <c r="P601" s="92">
        <f t="shared" si="95"/>
        <v>4344</v>
      </c>
      <c r="Q601" s="361">
        <f t="shared" si="100"/>
        <v>72.291562656015969</v>
      </c>
    </row>
    <row r="602" spans="2:17" x14ac:dyDescent="0.2">
      <c r="B602" s="18">
        <f t="shared" si="97"/>
        <v>107</v>
      </c>
      <c r="C602" s="3"/>
      <c r="D602" s="3"/>
      <c r="E602" s="3"/>
      <c r="F602" s="90" t="s">
        <v>187</v>
      </c>
      <c r="G602" s="2">
        <v>710</v>
      </c>
      <c r="H602" s="3" t="s">
        <v>175</v>
      </c>
      <c r="I602" s="4"/>
      <c r="J602" s="4"/>
      <c r="K602" s="361"/>
      <c r="L602" s="4">
        <f>L603</f>
        <v>73966</v>
      </c>
      <c r="M602" s="4">
        <f>M603</f>
        <v>69918</v>
      </c>
      <c r="N602" s="361">
        <f>M602/L602*100</f>
        <v>94.527215206986995</v>
      </c>
      <c r="O602" s="92">
        <f t="shared" si="94"/>
        <v>73966</v>
      </c>
      <c r="P602" s="92">
        <f t="shared" si="95"/>
        <v>69918</v>
      </c>
      <c r="Q602" s="361">
        <f t="shared" si="100"/>
        <v>94.527215206986995</v>
      </c>
    </row>
    <row r="603" spans="2:17" x14ac:dyDescent="0.2">
      <c r="B603" s="18">
        <f t="shared" si="97"/>
        <v>108</v>
      </c>
      <c r="C603" s="6"/>
      <c r="D603" s="6"/>
      <c r="E603" s="6"/>
      <c r="F603" s="93"/>
      <c r="G603" s="5">
        <v>717</v>
      </c>
      <c r="H603" s="6" t="s">
        <v>182</v>
      </c>
      <c r="I603" s="7"/>
      <c r="J603" s="7"/>
      <c r="K603" s="361"/>
      <c r="L603" s="7">
        <f>SUM(L604:L605)</f>
        <v>73966</v>
      </c>
      <c r="M603" s="7">
        <f>SUM(M604:M605)</f>
        <v>69918</v>
      </c>
      <c r="N603" s="361">
        <f>M603/L603*100</f>
        <v>94.527215206986995</v>
      </c>
      <c r="O603" s="95">
        <f t="shared" si="94"/>
        <v>73966</v>
      </c>
      <c r="P603" s="95">
        <f t="shared" si="95"/>
        <v>69918</v>
      </c>
      <c r="Q603" s="361">
        <f t="shared" si="100"/>
        <v>94.527215206986995</v>
      </c>
    </row>
    <row r="604" spans="2:17" x14ac:dyDescent="0.2">
      <c r="B604" s="18">
        <f t="shared" si="97"/>
        <v>109</v>
      </c>
      <c r="C604" s="9"/>
      <c r="D604" s="9"/>
      <c r="E604" s="9"/>
      <c r="F604" s="194"/>
      <c r="G604" s="106"/>
      <c r="H604" s="9" t="s">
        <v>397</v>
      </c>
      <c r="I604" s="10"/>
      <c r="J604" s="10"/>
      <c r="K604" s="361"/>
      <c r="L604" s="10">
        <f>60000-14400-817</f>
        <v>44783</v>
      </c>
      <c r="M604" s="10">
        <v>44783</v>
      </c>
      <c r="N604" s="361">
        <f>M604/L604*100</f>
        <v>100</v>
      </c>
      <c r="O604" s="108">
        <f t="shared" si="94"/>
        <v>44783</v>
      </c>
      <c r="P604" s="108">
        <f t="shared" si="95"/>
        <v>44783</v>
      </c>
      <c r="Q604" s="361">
        <f t="shared" si="100"/>
        <v>100</v>
      </c>
    </row>
    <row r="605" spans="2:17" x14ac:dyDescent="0.2">
      <c r="B605" s="18">
        <f t="shared" si="97"/>
        <v>110</v>
      </c>
      <c r="C605" s="9"/>
      <c r="D605" s="9"/>
      <c r="E605" s="9"/>
      <c r="F605" s="194"/>
      <c r="G605" s="106"/>
      <c r="H605" s="9" t="s">
        <v>528</v>
      </c>
      <c r="I605" s="10"/>
      <c r="J605" s="10"/>
      <c r="K605" s="361"/>
      <c r="L605" s="10">
        <f>35000-3600-2217</f>
        <v>29183</v>
      </c>
      <c r="M605" s="10">
        <v>25135</v>
      </c>
      <c r="N605" s="361">
        <f>M605/L605*100</f>
        <v>86.128910667169251</v>
      </c>
      <c r="O605" s="108">
        <f t="shared" si="94"/>
        <v>29183</v>
      </c>
      <c r="P605" s="108">
        <f t="shared" si="95"/>
        <v>25135</v>
      </c>
      <c r="Q605" s="361">
        <f t="shared" si="100"/>
        <v>86.128910667169251</v>
      </c>
    </row>
    <row r="606" spans="2:17" x14ac:dyDescent="0.2">
      <c r="B606" s="18">
        <f t="shared" si="97"/>
        <v>111</v>
      </c>
      <c r="C606" s="190"/>
      <c r="D606" s="190"/>
      <c r="E606" s="190" t="s">
        <v>81</v>
      </c>
      <c r="F606" s="191"/>
      <c r="G606" s="191"/>
      <c r="H606" s="190" t="s">
        <v>525</v>
      </c>
      <c r="I606" s="192">
        <f>I607+I608+I609+I614</f>
        <v>556322</v>
      </c>
      <c r="J606" s="192">
        <f>J607+J608+J609+J614</f>
        <v>530124</v>
      </c>
      <c r="K606" s="361">
        <f t="shared" ref="K606:K614" si="101">J606/I606*100</f>
        <v>95.290856734049697</v>
      </c>
      <c r="L606" s="192">
        <f>L615</f>
        <v>35000</v>
      </c>
      <c r="M606" s="192">
        <f>M615</f>
        <v>19929</v>
      </c>
      <c r="N606" s="361">
        <f>M606/L606*100</f>
        <v>56.940000000000005</v>
      </c>
      <c r="O606" s="193">
        <f t="shared" si="94"/>
        <v>591322</v>
      </c>
      <c r="P606" s="193">
        <f t="shared" si="95"/>
        <v>550053</v>
      </c>
      <c r="Q606" s="361">
        <f t="shared" si="100"/>
        <v>93.020892170424901</v>
      </c>
    </row>
    <row r="607" spans="2:17" x14ac:dyDescent="0.2">
      <c r="B607" s="18">
        <f t="shared" si="97"/>
        <v>112</v>
      </c>
      <c r="C607" s="3"/>
      <c r="D607" s="3"/>
      <c r="E607" s="3"/>
      <c r="F607" s="90" t="s">
        <v>187</v>
      </c>
      <c r="G607" s="2">
        <v>610</v>
      </c>
      <c r="H607" s="3" t="s">
        <v>131</v>
      </c>
      <c r="I607" s="4">
        <f>261562+100+1051+7145+31267</f>
        <v>301125</v>
      </c>
      <c r="J607" s="4">
        <v>294571</v>
      </c>
      <c r="K607" s="361">
        <f t="shared" si="101"/>
        <v>97.823495226234954</v>
      </c>
      <c r="L607" s="4"/>
      <c r="M607" s="4"/>
      <c r="N607" s="361"/>
      <c r="O607" s="92">
        <f t="shared" si="94"/>
        <v>301125</v>
      </c>
      <c r="P607" s="92">
        <f t="shared" si="95"/>
        <v>294571</v>
      </c>
      <c r="Q607" s="361">
        <f t="shared" si="100"/>
        <v>97.823495226234954</v>
      </c>
    </row>
    <row r="608" spans="2:17" x14ac:dyDescent="0.2">
      <c r="B608" s="18">
        <f t="shared" si="97"/>
        <v>113</v>
      </c>
      <c r="C608" s="3"/>
      <c r="D608" s="3"/>
      <c r="E608" s="3"/>
      <c r="F608" s="90" t="s">
        <v>187</v>
      </c>
      <c r="G608" s="2">
        <v>620</v>
      </c>
      <c r="H608" s="3" t="s">
        <v>124</v>
      </c>
      <c r="I608" s="4">
        <f>96750+35+415+3107+13455</f>
        <v>113762</v>
      </c>
      <c r="J608" s="4">
        <v>111972</v>
      </c>
      <c r="K608" s="361">
        <f t="shared" si="101"/>
        <v>98.426539617798554</v>
      </c>
      <c r="L608" s="4"/>
      <c r="M608" s="4"/>
      <c r="N608" s="361"/>
      <c r="O608" s="92">
        <f t="shared" si="94"/>
        <v>113762</v>
      </c>
      <c r="P608" s="92">
        <f t="shared" si="95"/>
        <v>111972</v>
      </c>
      <c r="Q608" s="361">
        <f t="shared" si="100"/>
        <v>98.426539617798554</v>
      </c>
    </row>
    <row r="609" spans="2:17" x14ac:dyDescent="0.2">
      <c r="B609" s="18">
        <f t="shared" si="97"/>
        <v>114</v>
      </c>
      <c r="C609" s="3"/>
      <c r="D609" s="3"/>
      <c r="E609" s="3"/>
      <c r="F609" s="90" t="s">
        <v>187</v>
      </c>
      <c r="G609" s="2">
        <v>630</v>
      </c>
      <c r="H609" s="3" t="s">
        <v>121</v>
      </c>
      <c r="I609" s="4">
        <f>SUM(I610:I613)</f>
        <v>129885</v>
      </c>
      <c r="J609" s="4">
        <f>SUM(J610:J613)</f>
        <v>112684</v>
      </c>
      <c r="K609" s="361">
        <f t="shared" si="101"/>
        <v>86.756746352542635</v>
      </c>
      <c r="L609" s="4"/>
      <c r="M609" s="4"/>
      <c r="N609" s="361"/>
      <c r="O609" s="92">
        <f t="shared" si="94"/>
        <v>129885</v>
      </c>
      <c r="P609" s="92">
        <f t="shared" si="95"/>
        <v>112684</v>
      </c>
      <c r="Q609" s="361">
        <f t="shared" si="100"/>
        <v>86.756746352542635</v>
      </c>
    </row>
    <row r="610" spans="2:17" x14ac:dyDescent="0.2">
      <c r="B610" s="18">
        <f t="shared" si="97"/>
        <v>115</v>
      </c>
      <c r="C610" s="6"/>
      <c r="D610" s="6"/>
      <c r="E610" s="6"/>
      <c r="F610" s="93"/>
      <c r="G610" s="5">
        <v>632</v>
      </c>
      <c r="H610" s="6" t="s">
        <v>134</v>
      </c>
      <c r="I610" s="7">
        <f>108350-50000</f>
        <v>58350</v>
      </c>
      <c r="J610" s="7">
        <v>42877</v>
      </c>
      <c r="K610" s="361">
        <f t="shared" si="101"/>
        <v>73.482433590402735</v>
      </c>
      <c r="L610" s="7"/>
      <c r="M610" s="7"/>
      <c r="N610" s="361"/>
      <c r="O610" s="95">
        <f t="shared" si="94"/>
        <v>58350</v>
      </c>
      <c r="P610" s="95">
        <f t="shared" si="95"/>
        <v>42877</v>
      </c>
      <c r="Q610" s="361">
        <f t="shared" si="100"/>
        <v>73.482433590402735</v>
      </c>
    </row>
    <row r="611" spans="2:17" x14ac:dyDescent="0.2">
      <c r="B611" s="18">
        <f t="shared" si="97"/>
        <v>116</v>
      </c>
      <c r="C611" s="6"/>
      <c r="D611" s="6"/>
      <c r="E611" s="6"/>
      <c r="F611" s="93"/>
      <c r="G611" s="5">
        <v>633</v>
      </c>
      <c r="H611" s="6" t="s">
        <v>125</v>
      </c>
      <c r="I611" s="7">
        <f>36992-4341-3234+4490+11146+6027</f>
        <v>51080</v>
      </c>
      <c r="J611" s="7">
        <v>50831</v>
      </c>
      <c r="K611" s="361">
        <f t="shared" si="101"/>
        <v>99.512529365700857</v>
      </c>
      <c r="L611" s="7"/>
      <c r="M611" s="7"/>
      <c r="N611" s="361"/>
      <c r="O611" s="95">
        <f t="shared" si="94"/>
        <v>51080</v>
      </c>
      <c r="P611" s="95">
        <f t="shared" si="95"/>
        <v>50831</v>
      </c>
      <c r="Q611" s="361">
        <f t="shared" si="100"/>
        <v>99.512529365700857</v>
      </c>
    </row>
    <row r="612" spans="2:17" x14ac:dyDescent="0.2">
      <c r="B612" s="18">
        <f t="shared" si="97"/>
        <v>117</v>
      </c>
      <c r="C612" s="6"/>
      <c r="D612" s="6"/>
      <c r="E612" s="6"/>
      <c r="F612" s="93"/>
      <c r="G612" s="5">
        <v>635</v>
      </c>
      <c r="H612" s="6" t="s">
        <v>133</v>
      </c>
      <c r="I612" s="7">
        <f>10500-4000+8000-4250</f>
        <v>10250</v>
      </c>
      <c r="J612" s="7">
        <v>10230</v>
      </c>
      <c r="K612" s="361">
        <f t="shared" si="101"/>
        <v>99.804878048780495</v>
      </c>
      <c r="L612" s="7"/>
      <c r="M612" s="7"/>
      <c r="N612" s="361"/>
      <c r="O612" s="95">
        <f t="shared" si="94"/>
        <v>10250</v>
      </c>
      <c r="P612" s="95">
        <f t="shared" si="95"/>
        <v>10230</v>
      </c>
      <c r="Q612" s="361">
        <f t="shared" si="100"/>
        <v>99.804878048780495</v>
      </c>
    </row>
    <row r="613" spans="2:17" x14ac:dyDescent="0.2">
      <c r="B613" s="18">
        <f t="shared" si="97"/>
        <v>118</v>
      </c>
      <c r="C613" s="6"/>
      <c r="D613" s="6"/>
      <c r="E613" s="6"/>
      <c r="F613" s="93"/>
      <c r="G613" s="5">
        <v>637</v>
      </c>
      <c r="H613" s="6" t="s">
        <v>122</v>
      </c>
      <c r="I613" s="7">
        <f>10975-510-260</f>
        <v>10205</v>
      </c>
      <c r="J613" s="7">
        <v>8746</v>
      </c>
      <c r="K613" s="361">
        <f t="shared" si="101"/>
        <v>85.703086722194996</v>
      </c>
      <c r="L613" s="7"/>
      <c r="M613" s="7"/>
      <c r="N613" s="361"/>
      <c r="O613" s="95">
        <f t="shared" si="94"/>
        <v>10205</v>
      </c>
      <c r="P613" s="95">
        <f t="shared" si="95"/>
        <v>8746</v>
      </c>
      <c r="Q613" s="361">
        <f t="shared" si="100"/>
        <v>85.703086722194996</v>
      </c>
    </row>
    <row r="614" spans="2:17" x14ac:dyDescent="0.2">
      <c r="B614" s="18">
        <f t="shared" si="97"/>
        <v>119</v>
      </c>
      <c r="C614" s="3"/>
      <c r="D614" s="3"/>
      <c r="E614" s="3"/>
      <c r="F614" s="90" t="s">
        <v>187</v>
      </c>
      <c r="G614" s="2">
        <v>640</v>
      </c>
      <c r="H614" s="3" t="s">
        <v>129</v>
      </c>
      <c r="I614" s="4">
        <f>450+10200+900</f>
        <v>11550</v>
      </c>
      <c r="J614" s="4">
        <v>10897</v>
      </c>
      <c r="K614" s="361">
        <f t="shared" si="101"/>
        <v>94.34632034632034</v>
      </c>
      <c r="L614" s="4"/>
      <c r="M614" s="4"/>
      <c r="N614" s="361"/>
      <c r="O614" s="92">
        <f t="shared" si="94"/>
        <v>11550</v>
      </c>
      <c r="P614" s="92">
        <f t="shared" si="95"/>
        <v>10897</v>
      </c>
      <c r="Q614" s="361">
        <f t="shared" si="100"/>
        <v>94.34632034632034</v>
      </c>
    </row>
    <row r="615" spans="2:17" x14ac:dyDescent="0.2">
      <c r="B615" s="18">
        <f t="shared" si="97"/>
        <v>120</v>
      </c>
      <c r="C615" s="3"/>
      <c r="D615" s="3"/>
      <c r="E615" s="3"/>
      <c r="F615" s="90" t="s">
        <v>187</v>
      </c>
      <c r="G615" s="2">
        <v>710</v>
      </c>
      <c r="H615" s="3" t="s">
        <v>175</v>
      </c>
      <c r="I615" s="4"/>
      <c r="J615" s="4"/>
      <c r="K615" s="361"/>
      <c r="L615" s="4">
        <f>L616</f>
        <v>35000</v>
      </c>
      <c r="M615" s="4">
        <f>M616</f>
        <v>19929</v>
      </c>
      <c r="N615" s="361">
        <f>M615/L615*100</f>
        <v>56.940000000000005</v>
      </c>
      <c r="O615" s="92">
        <f t="shared" si="94"/>
        <v>35000</v>
      </c>
      <c r="P615" s="92">
        <f t="shared" si="95"/>
        <v>19929</v>
      </c>
      <c r="Q615" s="361">
        <f t="shared" si="100"/>
        <v>56.940000000000005</v>
      </c>
    </row>
    <row r="616" spans="2:17" x14ac:dyDescent="0.2">
      <c r="B616" s="18">
        <f t="shared" si="97"/>
        <v>121</v>
      </c>
      <c r="C616" s="3"/>
      <c r="D616" s="3"/>
      <c r="E616" s="3"/>
      <c r="F616" s="90"/>
      <c r="G616" s="5">
        <v>717</v>
      </c>
      <c r="H616" s="6" t="s">
        <v>182</v>
      </c>
      <c r="I616" s="7"/>
      <c r="J616" s="7"/>
      <c r="K616" s="361"/>
      <c r="L616" s="7">
        <f>L617+L618</f>
        <v>35000</v>
      </c>
      <c r="M616" s="7">
        <f>M617+M618</f>
        <v>19929</v>
      </c>
      <c r="N616" s="361">
        <f>M616/L616*100</f>
        <v>56.940000000000005</v>
      </c>
      <c r="O616" s="95">
        <f t="shared" si="94"/>
        <v>35000</v>
      </c>
      <c r="P616" s="95">
        <f t="shared" si="95"/>
        <v>19929</v>
      </c>
      <c r="Q616" s="361">
        <f t="shared" si="100"/>
        <v>56.940000000000005</v>
      </c>
    </row>
    <row r="617" spans="2:17" x14ac:dyDescent="0.2">
      <c r="B617" s="18">
        <f t="shared" si="97"/>
        <v>122</v>
      </c>
      <c r="C617" s="9"/>
      <c r="D617" s="9"/>
      <c r="E617" s="9"/>
      <c r="F617" s="194"/>
      <c r="G617" s="106"/>
      <c r="H617" s="9" t="s">
        <v>526</v>
      </c>
      <c r="I617" s="10"/>
      <c r="J617" s="10"/>
      <c r="K617" s="361"/>
      <c r="L617" s="10">
        <f>35000-14500</f>
        <v>20500</v>
      </c>
      <c r="M617" s="10">
        <v>19929</v>
      </c>
      <c r="N617" s="361">
        <f>M617/L617*100</f>
        <v>97.214634146341467</v>
      </c>
      <c r="O617" s="108">
        <f t="shared" si="94"/>
        <v>20500</v>
      </c>
      <c r="P617" s="108">
        <f t="shared" si="95"/>
        <v>19929</v>
      </c>
      <c r="Q617" s="361">
        <f t="shared" si="100"/>
        <v>97.214634146341467</v>
      </c>
    </row>
    <row r="618" spans="2:17" x14ac:dyDescent="0.2">
      <c r="B618" s="18">
        <f t="shared" si="97"/>
        <v>123</v>
      </c>
      <c r="C618" s="9"/>
      <c r="D618" s="9"/>
      <c r="E618" s="9"/>
      <c r="F618" s="194"/>
      <c r="G618" s="106"/>
      <c r="H618" s="9" t="s">
        <v>727</v>
      </c>
      <c r="I618" s="10"/>
      <c r="J618" s="10"/>
      <c r="K618" s="361"/>
      <c r="L618" s="10">
        <v>14500</v>
      </c>
      <c r="M618" s="10">
        <v>0</v>
      </c>
      <c r="N618" s="361">
        <f>M618/L618*100</f>
        <v>0</v>
      </c>
      <c r="O618" s="108">
        <f t="shared" si="94"/>
        <v>14500</v>
      </c>
      <c r="P618" s="108">
        <f t="shared" si="95"/>
        <v>0</v>
      </c>
      <c r="Q618" s="361">
        <f t="shared" si="100"/>
        <v>0</v>
      </c>
    </row>
    <row r="619" spans="2:17" x14ac:dyDescent="0.2">
      <c r="B619" s="18">
        <f t="shared" si="97"/>
        <v>124</v>
      </c>
      <c r="C619" s="190"/>
      <c r="D619" s="190"/>
      <c r="E619" s="190" t="s">
        <v>101</v>
      </c>
      <c r="F619" s="191"/>
      <c r="G619" s="191"/>
      <c r="H619" s="190" t="s">
        <v>102</v>
      </c>
      <c r="I619" s="192">
        <f>I620+I621+I622+I627</f>
        <v>360216</v>
      </c>
      <c r="J619" s="192">
        <f>J620+J621+J622+J627</f>
        <v>348246</v>
      </c>
      <c r="K619" s="361">
        <f t="shared" ref="K619:K627" si="102">J619/I619*100</f>
        <v>96.676993803717764</v>
      </c>
      <c r="L619" s="192">
        <f>L628</f>
        <v>8000</v>
      </c>
      <c r="M619" s="192">
        <f>M628</f>
        <v>8000</v>
      </c>
      <c r="N619" s="361">
        <f>M619/L619*100</f>
        <v>100</v>
      </c>
      <c r="O619" s="193">
        <f t="shared" si="94"/>
        <v>368216</v>
      </c>
      <c r="P619" s="193">
        <f t="shared" si="95"/>
        <v>356246</v>
      </c>
      <c r="Q619" s="361">
        <f t="shared" si="100"/>
        <v>96.74919069241966</v>
      </c>
    </row>
    <row r="620" spans="2:17" x14ac:dyDescent="0.2">
      <c r="B620" s="18">
        <f t="shared" si="97"/>
        <v>125</v>
      </c>
      <c r="C620" s="3"/>
      <c r="D620" s="3"/>
      <c r="E620" s="3"/>
      <c r="F620" s="90" t="s">
        <v>187</v>
      </c>
      <c r="G620" s="2">
        <v>610</v>
      </c>
      <c r="H620" s="3" t="s">
        <v>131</v>
      </c>
      <c r="I620" s="4">
        <f>185808+526+3062+21422</f>
        <v>210818</v>
      </c>
      <c r="J620" s="4">
        <v>209214</v>
      </c>
      <c r="K620" s="361">
        <f t="shared" si="102"/>
        <v>99.23915415192252</v>
      </c>
      <c r="L620" s="4"/>
      <c r="M620" s="4"/>
      <c r="N620" s="361"/>
      <c r="O620" s="92">
        <f t="shared" si="94"/>
        <v>210818</v>
      </c>
      <c r="P620" s="92">
        <f t="shared" si="95"/>
        <v>209214</v>
      </c>
      <c r="Q620" s="361">
        <f t="shared" si="100"/>
        <v>99.23915415192252</v>
      </c>
    </row>
    <row r="621" spans="2:17" x14ac:dyDescent="0.2">
      <c r="B621" s="18">
        <f t="shared" si="97"/>
        <v>126</v>
      </c>
      <c r="C621" s="3"/>
      <c r="D621" s="3"/>
      <c r="E621" s="3"/>
      <c r="F621" s="90" t="s">
        <v>187</v>
      </c>
      <c r="G621" s="2">
        <v>620</v>
      </c>
      <c r="H621" s="3" t="s">
        <v>124</v>
      </c>
      <c r="I621" s="4">
        <f>69592+207+1477+8152</f>
        <v>79428</v>
      </c>
      <c r="J621" s="4">
        <v>78795</v>
      </c>
      <c r="K621" s="361">
        <f t="shared" si="102"/>
        <v>99.203051820516691</v>
      </c>
      <c r="L621" s="4"/>
      <c r="M621" s="4"/>
      <c r="N621" s="361"/>
      <c r="O621" s="92">
        <f t="shared" si="94"/>
        <v>79428</v>
      </c>
      <c r="P621" s="92">
        <f t="shared" si="95"/>
        <v>78795</v>
      </c>
      <c r="Q621" s="361">
        <f t="shared" si="100"/>
        <v>99.203051820516691</v>
      </c>
    </row>
    <row r="622" spans="2:17" x14ac:dyDescent="0.2">
      <c r="B622" s="18">
        <f t="shared" si="97"/>
        <v>127</v>
      </c>
      <c r="C622" s="3"/>
      <c r="D622" s="3"/>
      <c r="E622" s="3"/>
      <c r="F622" s="90" t="s">
        <v>187</v>
      </c>
      <c r="G622" s="2">
        <v>630</v>
      </c>
      <c r="H622" s="3" t="s">
        <v>121</v>
      </c>
      <c r="I622" s="4">
        <f>SUM(I623:I626)</f>
        <v>64615</v>
      </c>
      <c r="J622" s="4">
        <f>SUM(J623:J626)</f>
        <v>54886</v>
      </c>
      <c r="K622" s="361">
        <f t="shared" si="102"/>
        <v>84.943124661456309</v>
      </c>
      <c r="L622" s="4"/>
      <c r="M622" s="4"/>
      <c r="N622" s="361"/>
      <c r="O622" s="92">
        <f t="shared" si="94"/>
        <v>64615</v>
      </c>
      <c r="P622" s="92">
        <f t="shared" si="95"/>
        <v>54886</v>
      </c>
      <c r="Q622" s="361">
        <f t="shared" si="100"/>
        <v>84.943124661456309</v>
      </c>
    </row>
    <row r="623" spans="2:17" x14ac:dyDescent="0.2">
      <c r="B623" s="18">
        <f t="shared" si="97"/>
        <v>128</v>
      </c>
      <c r="C623" s="6"/>
      <c r="D623" s="6"/>
      <c r="E623" s="6"/>
      <c r="F623" s="93"/>
      <c r="G623" s="5">
        <v>632</v>
      </c>
      <c r="H623" s="6" t="s">
        <v>134</v>
      </c>
      <c r="I623" s="7">
        <v>29180</v>
      </c>
      <c r="J623" s="7">
        <v>21635</v>
      </c>
      <c r="K623" s="361">
        <f t="shared" si="102"/>
        <v>74.143248800548321</v>
      </c>
      <c r="L623" s="7"/>
      <c r="M623" s="7"/>
      <c r="N623" s="361"/>
      <c r="O623" s="95">
        <f t="shared" si="94"/>
        <v>29180</v>
      </c>
      <c r="P623" s="95">
        <f t="shared" si="95"/>
        <v>21635</v>
      </c>
      <c r="Q623" s="361">
        <f t="shared" si="100"/>
        <v>74.143248800548321</v>
      </c>
    </row>
    <row r="624" spans="2:17" x14ac:dyDescent="0.2">
      <c r="B624" s="18">
        <f t="shared" si="97"/>
        <v>129</v>
      </c>
      <c r="C624" s="6"/>
      <c r="D624" s="6"/>
      <c r="E624" s="6"/>
      <c r="F624" s="93"/>
      <c r="G624" s="5">
        <v>633</v>
      </c>
      <c r="H624" s="6" t="s">
        <v>125</v>
      </c>
      <c r="I624" s="7">
        <f>22206-3215-1017+1675+2962+861</f>
        <v>23472</v>
      </c>
      <c r="J624" s="7">
        <v>23467</v>
      </c>
      <c r="K624" s="361">
        <f t="shared" si="102"/>
        <v>99.978698023176548</v>
      </c>
      <c r="L624" s="7"/>
      <c r="M624" s="7"/>
      <c r="N624" s="361"/>
      <c r="O624" s="95">
        <f t="shared" ref="O624:O687" si="103">I624+L624</f>
        <v>23472</v>
      </c>
      <c r="P624" s="95">
        <f t="shared" ref="P624:P687" si="104">J624+M624</f>
        <v>23467</v>
      </c>
      <c r="Q624" s="361">
        <f t="shared" ref="Q624:Q655" si="105">P624/O624*100</f>
        <v>99.978698023176548</v>
      </c>
    </row>
    <row r="625" spans="2:17" x14ac:dyDescent="0.2">
      <c r="B625" s="18">
        <f t="shared" ref="B625:B688" si="106">B624+1</f>
        <v>130</v>
      </c>
      <c r="C625" s="6"/>
      <c r="D625" s="6"/>
      <c r="E625" s="6"/>
      <c r="F625" s="93"/>
      <c r="G625" s="5">
        <v>635</v>
      </c>
      <c r="H625" s="6" t="s">
        <v>133</v>
      </c>
      <c r="I625" s="7">
        <f>4800-1400</f>
        <v>3400</v>
      </c>
      <c r="J625" s="7">
        <v>3081</v>
      </c>
      <c r="K625" s="361">
        <f t="shared" si="102"/>
        <v>90.617647058823522</v>
      </c>
      <c r="L625" s="7"/>
      <c r="M625" s="7"/>
      <c r="N625" s="361"/>
      <c r="O625" s="95">
        <f t="shared" si="103"/>
        <v>3400</v>
      </c>
      <c r="P625" s="95">
        <f t="shared" si="104"/>
        <v>3081</v>
      </c>
      <c r="Q625" s="361">
        <f t="shared" si="105"/>
        <v>90.617647058823522</v>
      </c>
    </row>
    <row r="626" spans="2:17" x14ac:dyDescent="0.2">
      <c r="B626" s="18">
        <f t="shared" si="106"/>
        <v>131</v>
      </c>
      <c r="C626" s="6"/>
      <c r="D626" s="6"/>
      <c r="E626" s="6"/>
      <c r="F626" s="93"/>
      <c r="G626" s="5">
        <v>637</v>
      </c>
      <c r="H626" s="6" t="s">
        <v>122</v>
      </c>
      <c r="I626" s="7">
        <f>8123+140+300</f>
        <v>8563</v>
      </c>
      <c r="J626" s="7">
        <v>6703</v>
      </c>
      <c r="K626" s="361">
        <f t="shared" si="102"/>
        <v>78.278640663318939</v>
      </c>
      <c r="L626" s="7"/>
      <c r="M626" s="7"/>
      <c r="N626" s="361"/>
      <c r="O626" s="95">
        <f t="shared" si="103"/>
        <v>8563</v>
      </c>
      <c r="P626" s="95">
        <f t="shared" si="104"/>
        <v>6703</v>
      </c>
      <c r="Q626" s="361">
        <f t="shared" si="105"/>
        <v>78.278640663318939</v>
      </c>
    </row>
    <row r="627" spans="2:17" x14ac:dyDescent="0.2">
      <c r="B627" s="18">
        <f t="shared" si="106"/>
        <v>132</v>
      </c>
      <c r="C627" s="3"/>
      <c r="D627" s="3"/>
      <c r="E627" s="3"/>
      <c r="F627" s="90" t="s">
        <v>187</v>
      </c>
      <c r="G627" s="2">
        <v>640</v>
      </c>
      <c r="H627" s="3" t="s">
        <v>129</v>
      </c>
      <c r="I627" s="4">
        <f>3505+1550+300</f>
        <v>5355</v>
      </c>
      <c r="J627" s="4">
        <v>5351</v>
      </c>
      <c r="K627" s="361">
        <f t="shared" si="102"/>
        <v>99.92530345471522</v>
      </c>
      <c r="L627" s="4"/>
      <c r="M627" s="4"/>
      <c r="N627" s="361"/>
      <c r="O627" s="92">
        <f t="shared" si="103"/>
        <v>5355</v>
      </c>
      <c r="P627" s="92">
        <f t="shared" si="104"/>
        <v>5351</v>
      </c>
      <c r="Q627" s="361">
        <f t="shared" si="105"/>
        <v>99.92530345471522</v>
      </c>
    </row>
    <row r="628" spans="2:17" x14ac:dyDescent="0.2">
      <c r="B628" s="18">
        <f t="shared" si="106"/>
        <v>133</v>
      </c>
      <c r="C628" s="3"/>
      <c r="D628" s="3"/>
      <c r="E628" s="3"/>
      <c r="F628" s="90" t="s">
        <v>187</v>
      </c>
      <c r="G628" s="2">
        <v>710</v>
      </c>
      <c r="H628" s="3" t="s">
        <v>175</v>
      </c>
      <c r="I628" s="4"/>
      <c r="J628" s="4"/>
      <c r="K628" s="361"/>
      <c r="L628" s="4">
        <f>L631+L629</f>
        <v>8000</v>
      </c>
      <c r="M628" s="4">
        <f>M631+M629</f>
        <v>8000</v>
      </c>
      <c r="N628" s="361">
        <f>M628/L628*100</f>
        <v>100</v>
      </c>
      <c r="O628" s="92">
        <f t="shared" si="103"/>
        <v>8000</v>
      </c>
      <c r="P628" s="92">
        <f t="shared" si="104"/>
        <v>8000</v>
      </c>
      <c r="Q628" s="361">
        <f t="shared" si="105"/>
        <v>100</v>
      </c>
    </row>
    <row r="629" spans="2:17" x14ac:dyDescent="0.2">
      <c r="B629" s="18">
        <f t="shared" si="106"/>
        <v>134</v>
      </c>
      <c r="C629" s="3"/>
      <c r="D629" s="3"/>
      <c r="E629" s="3"/>
      <c r="F629" s="90"/>
      <c r="G629" s="5">
        <v>713</v>
      </c>
      <c r="H629" s="6" t="s">
        <v>218</v>
      </c>
      <c r="I629" s="7"/>
      <c r="J629" s="7"/>
      <c r="K629" s="361"/>
      <c r="L629" s="7">
        <f>L630</f>
        <v>8000</v>
      </c>
      <c r="M629" s="7">
        <f>M630</f>
        <v>8000</v>
      </c>
      <c r="N629" s="361">
        <f>M629/L629*100</f>
        <v>100</v>
      </c>
      <c r="O629" s="95">
        <f t="shared" si="103"/>
        <v>8000</v>
      </c>
      <c r="P629" s="95">
        <f t="shared" si="104"/>
        <v>8000</v>
      </c>
      <c r="Q629" s="361">
        <f t="shared" si="105"/>
        <v>100</v>
      </c>
    </row>
    <row r="630" spans="2:17" x14ac:dyDescent="0.2">
      <c r="B630" s="18">
        <f t="shared" si="106"/>
        <v>135</v>
      </c>
      <c r="C630" s="3"/>
      <c r="D630" s="3"/>
      <c r="E630" s="3"/>
      <c r="F630" s="90"/>
      <c r="G630" s="5"/>
      <c r="H630" s="9" t="s">
        <v>653</v>
      </c>
      <c r="I630" s="10"/>
      <c r="J630" s="10"/>
      <c r="K630" s="361"/>
      <c r="L630" s="10">
        <v>8000</v>
      </c>
      <c r="M630" s="10">
        <v>8000</v>
      </c>
      <c r="N630" s="361">
        <f>M630/L630*100</f>
        <v>100</v>
      </c>
      <c r="O630" s="108">
        <f t="shared" si="103"/>
        <v>8000</v>
      </c>
      <c r="P630" s="108">
        <f t="shared" si="104"/>
        <v>8000</v>
      </c>
      <c r="Q630" s="361">
        <f t="shared" si="105"/>
        <v>100</v>
      </c>
    </row>
    <row r="631" spans="2:17" x14ac:dyDescent="0.2">
      <c r="B631" s="18">
        <f t="shared" si="106"/>
        <v>136</v>
      </c>
      <c r="C631" s="190"/>
      <c r="D631" s="190"/>
      <c r="E631" s="190" t="s">
        <v>100</v>
      </c>
      <c r="F631" s="191"/>
      <c r="G631" s="191"/>
      <c r="H631" s="190" t="s">
        <v>60</v>
      </c>
      <c r="I631" s="192">
        <f>I632+I633+I634+I639</f>
        <v>503193</v>
      </c>
      <c r="J631" s="192">
        <f>J632+J633+J634+J639</f>
        <v>473209</v>
      </c>
      <c r="K631" s="361">
        <f t="shared" ref="K631:K658" si="107">J631/I631*100</f>
        <v>94.041252561144532</v>
      </c>
      <c r="L631" s="192"/>
      <c r="M631" s="192"/>
      <c r="N631" s="361"/>
      <c r="O631" s="193">
        <f t="shared" si="103"/>
        <v>503193</v>
      </c>
      <c r="P631" s="193">
        <f t="shared" si="104"/>
        <v>473209</v>
      </c>
      <c r="Q631" s="361">
        <f t="shared" si="105"/>
        <v>94.041252561144532</v>
      </c>
    </row>
    <row r="632" spans="2:17" x14ac:dyDescent="0.2">
      <c r="B632" s="18">
        <f t="shared" si="106"/>
        <v>137</v>
      </c>
      <c r="C632" s="3"/>
      <c r="D632" s="3"/>
      <c r="E632" s="3"/>
      <c r="F632" s="90" t="s">
        <v>187</v>
      </c>
      <c r="G632" s="2">
        <v>610</v>
      </c>
      <c r="H632" s="3" t="s">
        <v>131</v>
      </c>
      <c r="I632" s="4">
        <f>280574+1209+7078-2264</f>
        <v>286597</v>
      </c>
      <c r="J632" s="4">
        <v>273737</v>
      </c>
      <c r="K632" s="361">
        <f t="shared" si="107"/>
        <v>95.512863009731433</v>
      </c>
      <c r="L632" s="4"/>
      <c r="M632" s="4"/>
      <c r="N632" s="361"/>
      <c r="O632" s="92">
        <f t="shared" si="103"/>
        <v>286597</v>
      </c>
      <c r="P632" s="92">
        <f t="shared" si="104"/>
        <v>273737</v>
      </c>
      <c r="Q632" s="361">
        <f t="shared" si="105"/>
        <v>95.512863009731433</v>
      </c>
    </row>
    <row r="633" spans="2:17" x14ac:dyDescent="0.2">
      <c r="B633" s="18">
        <f t="shared" si="106"/>
        <v>138</v>
      </c>
      <c r="C633" s="3"/>
      <c r="D633" s="3"/>
      <c r="E633" s="3"/>
      <c r="F633" s="90" t="s">
        <v>187</v>
      </c>
      <c r="G633" s="2">
        <v>620</v>
      </c>
      <c r="H633" s="3" t="s">
        <v>124</v>
      </c>
      <c r="I633" s="4">
        <f>105305+467+2652-672</f>
        <v>107752</v>
      </c>
      <c r="J633" s="4">
        <v>100098</v>
      </c>
      <c r="K633" s="361">
        <f t="shared" si="107"/>
        <v>92.896651570272482</v>
      </c>
      <c r="L633" s="4"/>
      <c r="M633" s="4"/>
      <c r="N633" s="361"/>
      <c r="O633" s="92">
        <f t="shared" si="103"/>
        <v>107752</v>
      </c>
      <c r="P633" s="92">
        <f t="shared" si="104"/>
        <v>100098</v>
      </c>
      <c r="Q633" s="361">
        <f t="shared" si="105"/>
        <v>92.896651570272482</v>
      </c>
    </row>
    <row r="634" spans="2:17" x14ac:dyDescent="0.2">
      <c r="B634" s="18">
        <f t="shared" si="106"/>
        <v>139</v>
      </c>
      <c r="C634" s="3"/>
      <c r="D634" s="3"/>
      <c r="E634" s="3"/>
      <c r="F634" s="90" t="s">
        <v>187</v>
      </c>
      <c r="G634" s="2">
        <v>630</v>
      </c>
      <c r="H634" s="3" t="s">
        <v>121</v>
      </c>
      <c r="I634" s="4">
        <f>SUM(I635:I638)</f>
        <v>107357</v>
      </c>
      <c r="J634" s="4">
        <f>SUM(J635:J638)</f>
        <v>98269</v>
      </c>
      <c r="K634" s="361">
        <f t="shared" si="107"/>
        <v>91.534785808098221</v>
      </c>
      <c r="L634" s="4"/>
      <c r="M634" s="4"/>
      <c r="N634" s="361"/>
      <c r="O634" s="92">
        <f t="shared" si="103"/>
        <v>107357</v>
      </c>
      <c r="P634" s="92">
        <f t="shared" si="104"/>
        <v>98269</v>
      </c>
      <c r="Q634" s="361">
        <f t="shared" si="105"/>
        <v>91.534785808098221</v>
      </c>
    </row>
    <row r="635" spans="2:17" x14ac:dyDescent="0.2">
      <c r="B635" s="18">
        <f t="shared" si="106"/>
        <v>140</v>
      </c>
      <c r="C635" s="6"/>
      <c r="D635" s="6"/>
      <c r="E635" s="6"/>
      <c r="F635" s="93"/>
      <c r="G635" s="5">
        <v>632</v>
      </c>
      <c r="H635" s="6" t="s">
        <v>134</v>
      </c>
      <c r="I635" s="7">
        <f>66355-10000</f>
        <v>56355</v>
      </c>
      <c r="J635" s="7">
        <v>49491</v>
      </c>
      <c r="K635" s="361">
        <f t="shared" si="107"/>
        <v>87.820069204152247</v>
      </c>
      <c r="L635" s="7"/>
      <c r="M635" s="7"/>
      <c r="N635" s="361"/>
      <c r="O635" s="95">
        <f t="shared" si="103"/>
        <v>56355</v>
      </c>
      <c r="P635" s="95">
        <f t="shared" si="104"/>
        <v>49491</v>
      </c>
      <c r="Q635" s="361">
        <f t="shared" si="105"/>
        <v>87.820069204152247</v>
      </c>
    </row>
    <row r="636" spans="2:17" x14ac:dyDescent="0.2">
      <c r="B636" s="18">
        <f t="shared" si="106"/>
        <v>141</v>
      </c>
      <c r="C636" s="6"/>
      <c r="D636" s="6"/>
      <c r="E636" s="6"/>
      <c r="F636" s="93"/>
      <c r="G636" s="5">
        <v>633</v>
      </c>
      <c r="H636" s="6" t="s">
        <v>125</v>
      </c>
      <c r="I636" s="7">
        <f>36526-4051-776-190+2298</f>
        <v>33807</v>
      </c>
      <c r="J636" s="7">
        <v>33634</v>
      </c>
      <c r="K636" s="361">
        <f t="shared" si="107"/>
        <v>99.488271659715437</v>
      </c>
      <c r="L636" s="7"/>
      <c r="M636" s="7"/>
      <c r="N636" s="361"/>
      <c r="O636" s="95">
        <f t="shared" si="103"/>
        <v>33807</v>
      </c>
      <c r="P636" s="95">
        <f t="shared" si="104"/>
        <v>33634</v>
      </c>
      <c r="Q636" s="361">
        <f t="shared" si="105"/>
        <v>99.488271659715437</v>
      </c>
    </row>
    <row r="637" spans="2:17" x14ac:dyDescent="0.2">
      <c r="B637" s="18">
        <f t="shared" si="106"/>
        <v>142</v>
      </c>
      <c r="C637" s="6"/>
      <c r="D637" s="6"/>
      <c r="E637" s="6"/>
      <c r="F637" s="93"/>
      <c r="G637" s="5">
        <v>635</v>
      </c>
      <c r="H637" s="6" t="s">
        <v>133</v>
      </c>
      <c r="I637" s="7">
        <f>8000-2000+100</f>
        <v>6100</v>
      </c>
      <c r="J637" s="7">
        <v>5955</v>
      </c>
      <c r="K637" s="361">
        <f t="shared" si="107"/>
        <v>97.622950819672127</v>
      </c>
      <c r="L637" s="7"/>
      <c r="M637" s="7"/>
      <c r="N637" s="361"/>
      <c r="O637" s="95">
        <f t="shared" si="103"/>
        <v>6100</v>
      </c>
      <c r="P637" s="95">
        <f t="shared" si="104"/>
        <v>5955</v>
      </c>
      <c r="Q637" s="361">
        <f t="shared" si="105"/>
        <v>97.622950819672127</v>
      </c>
    </row>
    <row r="638" spans="2:17" x14ac:dyDescent="0.2">
      <c r="B638" s="18">
        <f t="shared" si="106"/>
        <v>143</v>
      </c>
      <c r="C638" s="6"/>
      <c r="D638" s="6"/>
      <c r="E638" s="6"/>
      <c r="F638" s="93"/>
      <c r="G638" s="5">
        <v>637</v>
      </c>
      <c r="H638" s="6" t="s">
        <v>122</v>
      </c>
      <c r="I638" s="7">
        <f>10145+605+345</f>
        <v>11095</v>
      </c>
      <c r="J638" s="7">
        <v>9189</v>
      </c>
      <c r="K638" s="361">
        <f t="shared" si="107"/>
        <v>82.821090581342943</v>
      </c>
      <c r="L638" s="7"/>
      <c r="M638" s="7"/>
      <c r="N638" s="361"/>
      <c r="O638" s="95">
        <f t="shared" si="103"/>
        <v>11095</v>
      </c>
      <c r="P638" s="95">
        <f t="shared" si="104"/>
        <v>9189</v>
      </c>
      <c r="Q638" s="361">
        <f t="shared" si="105"/>
        <v>82.821090581342943</v>
      </c>
    </row>
    <row r="639" spans="2:17" x14ac:dyDescent="0.2">
      <c r="B639" s="18">
        <f t="shared" si="106"/>
        <v>144</v>
      </c>
      <c r="C639" s="3"/>
      <c r="D639" s="3"/>
      <c r="E639" s="3"/>
      <c r="F639" s="90" t="s">
        <v>187</v>
      </c>
      <c r="G639" s="2">
        <v>640</v>
      </c>
      <c r="H639" s="3" t="s">
        <v>129</v>
      </c>
      <c r="I639" s="4">
        <f>5635-4848+700</f>
        <v>1487</v>
      </c>
      <c r="J639" s="4">
        <v>1105</v>
      </c>
      <c r="K639" s="361">
        <f t="shared" si="107"/>
        <v>74.310692669804979</v>
      </c>
      <c r="L639" s="4"/>
      <c r="M639" s="4"/>
      <c r="N639" s="361"/>
      <c r="O639" s="92">
        <f t="shared" si="103"/>
        <v>1487</v>
      </c>
      <c r="P639" s="92">
        <f t="shared" si="104"/>
        <v>1105</v>
      </c>
      <c r="Q639" s="361">
        <f t="shared" si="105"/>
        <v>74.310692669804979</v>
      </c>
    </row>
    <row r="640" spans="2:17" x14ac:dyDescent="0.2">
      <c r="B640" s="18">
        <f t="shared" si="106"/>
        <v>145</v>
      </c>
      <c r="C640" s="190"/>
      <c r="D640" s="190"/>
      <c r="E640" s="190" t="s">
        <v>96</v>
      </c>
      <c r="F640" s="191"/>
      <c r="G640" s="191"/>
      <c r="H640" s="190" t="s">
        <v>66</v>
      </c>
      <c r="I640" s="192">
        <f>I641+I642+I643+I649</f>
        <v>507735</v>
      </c>
      <c r="J640" s="192">
        <f>J641+J642+J643+J649</f>
        <v>491145</v>
      </c>
      <c r="K640" s="361">
        <f t="shared" si="107"/>
        <v>96.732547490324677</v>
      </c>
      <c r="L640" s="192"/>
      <c r="M640" s="192"/>
      <c r="N640" s="361"/>
      <c r="O640" s="193">
        <f t="shared" si="103"/>
        <v>507735</v>
      </c>
      <c r="P640" s="193">
        <f t="shared" si="104"/>
        <v>491145</v>
      </c>
      <c r="Q640" s="361">
        <f t="shared" si="105"/>
        <v>96.732547490324677</v>
      </c>
    </row>
    <row r="641" spans="2:17" x14ac:dyDescent="0.2">
      <c r="B641" s="18">
        <f t="shared" si="106"/>
        <v>146</v>
      </c>
      <c r="C641" s="3"/>
      <c r="D641" s="3"/>
      <c r="E641" s="3"/>
      <c r="F641" s="90" t="s">
        <v>187</v>
      </c>
      <c r="G641" s="2">
        <v>610</v>
      </c>
      <c r="H641" s="3" t="s">
        <v>131</v>
      </c>
      <c r="I641" s="4">
        <f>273329+100+712+6956+9478</f>
        <v>290575</v>
      </c>
      <c r="J641" s="4">
        <v>287743</v>
      </c>
      <c r="K641" s="361">
        <f t="shared" si="107"/>
        <v>99.025380710659888</v>
      </c>
      <c r="L641" s="4"/>
      <c r="M641" s="4"/>
      <c r="N641" s="361"/>
      <c r="O641" s="92">
        <f t="shared" si="103"/>
        <v>290575</v>
      </c>
      <c r="P641" s="92">
        <f t="shared" si="104"/>
        <v>287743</v>
      </c>
      <c r="Q641" s="361">
        <f t="shared" si="105"/>
        <v>99.025380710659888</v>
      </c>
    </row>
    <row r="642" spans="2:17" x14ac:dyDescent="0.2">
      <c r="B642" s="18">
        <f t="shared" si="106"/>
        <v>147</v>
      </c>
      <c r="C642" s="3"/>
      <c r="D642" s="3"/>
      <c r="E642" s="3"/>
      <c r="F642" s="90" t="s">
        <v>187</v>
      </c>
      <c r="G642" s="2">
        <v>620</v>
      </c>
      <c r="H642" s="3" t="s">
        <v>124</v>
      </c>
      <c r="I642" s="4">
        <f>101682+35+301+3183+4531</f>
        <v>109732</v>
      </c>
      <c r="J642" s="4">
        <v>109013</v>
      </c>
      <c r="K642" s="361">
        <f t="shared" si="107"/>
        <v>99.344767251120913</v>
      </c>
      <c r="L642" s="4"/>
      <c r="M642" s="4"/>
      <c r="N642" s="361"/>
      <c r="O642" s="92">
        <f t="shared" si="103"/>
        <v>109732</v>
      </c>
      <c r="P642" s="92">
        <f t="shared" si="104"/>
        <v>109013</v>
      </c>
      <c r="Q642" s="361">
        <f t="shared" si="105"/>
        <v>99.344767251120913</v>
      </c>
    </row>
    <row r="643" spans="2:17" x14ac:dyDescent="0.2">
      <c r="B643" s="18">
        <f t="shared" si="106"/>
        <v>148</v>
      </c>
      <c r="C643" s="3"/>
      <c r="D643" s="3"/>
      <c r="E643" s="3"/>
      <c r="F643" s="90" t="s">
        <v>187</v>
      </c>
      <c r="G643" s="2">
        <v>630</v>
      </c>
      <c r="H643" s="3" t="s">
        <v>121</v>
      </c>
      <c r="I643" s="4">
        <f>SUM(I644:I648)</f>
        <v>100191</v>
      </c>
      <c r="J643" s="4">
        <f>SUM(J644:J648)</f>
        <v>87341</v>
      </c>
      <c r="K643" s="361">
        <f t="shared" si="107"/>
        <v>87.174496711281463</v>
      </c>
      <c r="L643" s="4"/>
      <c r="M643" s="4"/>
      <c r="N643" s="361"/>
      <c r="O643" s="92">
        <f t="shared" si="103"/>
        <v>100191</v>
      </c>
      <c r="P643" s="92">
        <f t="shared" si="104"/>
        <v>87341</v>
      </c>
      <c r="Q643" s="361">
        <f t="shared" si="105"/>
        <v>87.174496711281463</v>
      </c>
    </row>
    <row r="644" spans="2:17" x14ac:dyDescent="0.2">
      <c r="B644" s="18">
        <f t="shared" si="106"/>
        <v>149</v>
      </c>
      <c r="C644" s="6"/>
      <c r="D644" s="6"/>
      <c r="E644" s="6"/>
      <c r="F644" s="93"/>
      <c r="G644" s="5">
        <v>632</v>
      </c>
      <c r="H644" s="6" t="s">
        <v>134</v>
      </c>
      <c r="I644" s="7">
        <f>77245-43228</f>
        <v>34017</v>
      </c>
      <c r="J644" s="7">
        <v>26580</v>
      </c>
      <c r="K644" s="361">
        <f t="shared" si="107"/>
        <v>78.137401887291645</v>
      </c>
      <c r="L644" s="7"/>
      <c r="M644" s="7"/>
      <c r="N644" s="361"/>
      <c r="O644" s="95">
        <f t="shared" si="103"/>
        <v>34017</v>
      </c>
      <c r="P644" s="95">
        <f t="shared" si="104"/>
        <v>26580</v>
      </c>
      <c r="Q644" s="361">
        <f t="shared" si="105"/>
        <v>78.137401887291645</v>
      </c>
    </row>
    <row r="645" spans="2:17" x14ac:dyDescent="0.2">
      <c r="B645" s="18">
        <f t="shared" si="106"/>
        <v>150</v>
      </c>
      <c r="C645" s="6"/>
      <c r="D645" s="6"/>
      <c r="E645" s="6"/>
      <c r="F645" s="93"/>
      <c r="G645" s="5">
        <v>633</v>
      </c>
      <c r="H645" s="6" t="s">
        <v>125</v>
      </c>
      <c r="I645" s="7">
        <f>42486-3117-105-7200-165+4593+4305</f>
        <v>40797</v>
      </c>
      <c r="J645" s="7">
        <v>39421</v>
      </c>
      <c r="K645" s="361">
        <f t="shared" si="107"/>
        <v>96.627202980611315</v>
      </c>
      <c r="L645" s="7"/>
      <c r="M645" s="7"/>
      <c r="N645" s="361"/>
      <c r="O645" s="95">
        <f t="shared" si="103"/>
        <v>40797</v>
      </c>
      <c r="P645" s="95">
        <f t="shared" si="104"/>
        <v>39421</v>
      </c>
      <c r="Q645" s="361">
        <f t="shared" si="105"/>
        <v>96.627202980611315</v>
      </c>
    </row>
    <row r="646" spans="2:17" x14ac:dyDescent="0.2">
      <c r="B646" s="18">
        <f t="shared" si="106"/>
        <v>151</v>
      </c>
      <c r="C646" s="6"/>
      <c r="D646" s="6"/>
      <c r="E646" s="6"/>
      <c r="F646" s="93"/>
      <c r="G646" s="5">
        <v>634</v>
      </c>
      <c r="H646" s="6" t="s">
        <v>132</v>
      </c>
      <c r="I646" s="7">
        <v>300</v>
      </c>
      <c r="J646" s="7">
        <v>228</v>
      </c>
      <c r="K646" s="361">
        <f t="shared" si="107"/>
        <v>76</v>
      </c>
      <c r="L646" s="7"/>
      <c r="M646" s="7"/>
      <c r="N646" s="361"/>
      <c r="O646" s="95">
        <f t="shared" si="103"/>
        <v>300</v>
      </c>
      <c r="P646" s="95">
        <f t="shared" si="104"/>
        <v>228</v>
      </c>
      <c r="Q646" s="361">
        <f t="shared" si="105"/>
        <v>76</v>
      </c>
    </row>
    <row r="647" spans="2:17" x14ac:dyDescent="0.2">
      <c r="B647" s="18">
        <f t="shared" si="106"/>
        <v>152</v>
      </c>
      <c r="C647" s="6"/>
      <c r="D647" s="6"/>
      <c r="E647" s="6"/>
      <c r="F647" s="93"/>
      <c r="G647" s="5">
        <v>635</v>
      </c>
      <c r="H647" s="6" t="s">
        <v>133</v>
      </c>
      <c r="I647" s="7">
        <f>10200-4000+4337-1000</f>
        <v>9537</v>
      </c>
      <c r="J647" s="7">
        <v>7447</v>
      </c>
      <c r="K647" s="361">
        <f t="shared" si="107"/>
        <v>78.085351787773931</v>
      </c>
      <c r="L647" s="7"/>
      <c r="M647" s="7"/>
      <c r="N647" s="361"/>
      <c r="O647" s="95">
        <f t="shared" si="103"/>
        <v>9537</v>
      </c>
      <c r="P647" s="95">
        <f t="shared" si="104"/>
        <v>7447</v>
      </c>
      <c r="Q647" s="361">
        <f t="shared" si="105"/>
        <v>78.085351787773931</v>
      </c>
    </row>
    <row r="648" spans="2:17" x14ac:dyDescent="0.2">
      <c r="B648" s="18">
        <f t="shared" si="106"/>
        <v>153</v>
      </c>
      <c r="C648" s="6"/>
      <c r="D648" s="6"/>
      <c r="E648" s="6"/>
      <c r="F648" s="93"/>
      <c r="G648" s="5">
        <v>637</v>
      </c>
      <c r="H648" s="6" t="s">
        <v>122</v>
      </c>
      <c r="I648" s="7">
        <f>12105+105+1740+1590</f>
        <v>15540</v>
      </c>
      <c r="J648" s="7">
        <v>13665</v>
      </c>
      <c r="K648" s="361">
        <f t="shared" si="107"/>
        <v>87.934362934362937</v>
      </c>
      <c r="L648" s="7"/>
      <c r="M648" s="7"/>
      <c r="N648" s="361"/>
      <c r="O648" s="95">
        <f t="shared" si="103"/>
        <v>15540</v>
      </c>
      <c r="P648" s="95">
        <f t="shared" si="104"/>
        <v>13665</v>
      </c>
      <c r="Q648" s="361">
        <f t="shared" si="105"/>
        <v>87.934362934362937</v>
      </c>
    </row>
    <row r="649" spans="2:17" x14ac:dyDescent="0.2">
      <c r="B649" s="18">
        <f t="shared" si="106"/>
        <v>154</v>
      </c>
      <c r="C649" s="3"/>
      <c r="D649" s="3"/>
      <c r="E649" s="3"/>
      <c r="F649" s="90" t="s">
        <v>187</v>
      </c>
      <c r="G649" s="2">
        <v>640</v>
      </c>
      <c r="H649" s="3" t="s">
        <v>129</v>
      </c>
      <c r="I649" s="4">
        <f>2117+4400+720</f>
        <v>7237</v>
      </c>
      <c r="J649" s="4">
        <v>7048</v>
      </c>
      <c r="K649" s="361">
        <f t="shared" si="107"/>
        <v>97.388420616277457</v>
      </c>
      <c r="L649" s="4"/>
      <c r="M649" s="4"/>
      <c r="N649" s="361"/>
      <c r="O649" s="92">
        <f t="shared" si="103"/>
        <v>7237</v>
      </c>
      <c r="P649" s="92">
        <f t="shared" si="104"/>
        <v>7048</v>
      </c>
      <c r="Q649" s="361">
        <f t="shared" si="105"/>
        <v>97.388420616277457</v>
      </c>
    </row>
    <row r="650" spans="2:17" x14ac:dyDescent="0.2">
      <c r="B650" s="18">
        <f t="shared" si="106"/>
        <v>155</v>
      </c>
      <c r="C650" s="190"/>
      <c r="D650" s="190"/>
      <c r="E650" s="190" t="s">
        <v>99</v>
      </c>
      <c r="F650" s="191"/>
      <c r="G650" s="191"/>
      <c r="H650" s="190" t="s">
        <v>67</v>
      </c>
      <c r="I650" s="192">
        <f>I651+I652+I653+I658</f>
        <v>450717</v>
      </c>
      <c r="J650" s="192">
        <f>J651+J652+J653+J658</f>
        <v>426836</v>
      </c>
      <c r="K650" s="361">
        <f t="shared" si="107"/>
        <v>94.701553302848566</v>
      </c>
      <c r="L650" s="192"/>
      <c r="M650" s="192"/>
      <c r="N650" s="361"/>
      <c r="O650" s="193">
        <f t="shared" si="103"/>
        <v>450717</v>
      </c>
      <c r="P650" s="193">
        <f t="shared" si="104"/>
        <v>426836</v>
      </c>
      <c r="Q650" s="361">
        <f t="shared" si="105"/>
        <v>94.701553302848566</v>
      </c>
    </row>
    <row r="651" spans="2:17" x14ac:dyDescent="0.2">
      <c r="B651" s="18">
        <f t="shared" si="106"/>
        <v>156</v>
      </c>
      <c r="C651" s="3"/>
      <c r="D651" s="3"/>
      <c r="E651" s="3"/>
      <c r="F651" s="90" t="s">
        <v>187</v>
      </c>
      <c r="G651" s="2">
        <v>610</v>
      </c>
      <c r="H651" s="3" t="s">
        <v>131</v>
      </c>
      <c r="I651" s="4">
        <f>253855+629+4601+3462</f>
        <v>262547</v>
      </c>
      <c r="J651" s="4">
        <v>258931</v>
      </c>
      <c r="K651" s="361">
        <f t="shared" si="107"/>
        <v>98.622722788681642</v>
      </c>
      <c r="L651" s="4"/>
      <c r="M651" s="4"/>
      <c r="N651" s="361"/>
      <c r="O651" s="92">
        <f t="shared" si="103"/>
        <v>262547</v>
      </c>
      <c r="P651" s="92">
        <f t="shared" si="104"/>
        <v>258931</v>
      </c>
      <c r="Q651" s="361">
        <f t="shared" si="105"/>
        <v>98.622722788681642</v>
      </c>
    </row>
    <row r="652" spans="2:17" x14ac:dyDescent="0.2">
      <c r="B652" s="18">
        <f t="shared" si="106"/>
        <v>157</v>
      </c>
      <c r="C652" s="3"/>
      <c r="D652" s="3"/>
      <c r="E652" s="3"/>
      <c r="F652" s="90" t="s">
        <v>187</v>
      </c>
      <c r="G652" s="2">
        <v>620</v>
      </c>
      <c r="H652" s="3" t="s">
        <v>124</v>
      </c>
      <c r="I652" s="4">
        <f>93905+247+2155-411</f>
        <v>95896</v>
      </c>
      <c r="J652" s="4">
        <v>94937</v>
      </c>
      <c r="K652" s="361">
        <f t="shared" si="107"/>
        <v>98.999958288145493</v>
      </c>
      <c r="L652" s="4"/>
      <c r="M652" s="4"/>
      <c r="N652" s="361"/>
      <c r="O652" s="92">
        <f t="shared" si="103"/>
        <v>95896</v>
      </c>
      <c r="P652" s="92">
        <f t="shared" si="104"/>
        <v>94937</v>
      </c>
      <c r="Q652" s="361">
        <f t="shared" si="105"/>
        <v>98.999958288145493</v>
      </c>
    </row>
    <row r="653" spans="2:17" x14ac:dyDescent="0.2">
      <c r="B653" s="18">
        <f t="shared" si="106"/>
        <v>158</v>
      </c>
      <c r="C653" s="3"/>
      <c r="D653" s="3"/>
      <c r="E653" s="3"/>
      <c r="F653" s="90" t="s">
        <v>187</v>
      </c>
      <c r="G653" s="2">
        <v>630</v>
      </c>
      <c r="H653" s="3" t="s">
        <v>121</v>
      </c>
      <c r="I653" s="4">
        <f>SUM(I654:I657)</f>
        <v>89924</v>
      </c>
      <c r="J653" s="4">
        <f>SUM(J654:J657)</f>
        <v>70678</v>
      </c>
      <c r="K653" s="361">
        <f t="shared" si="107"/>
        <v>78.5974823184022</v>
      </c>
      <c r="L653" s="4"/>
      <c r="M653" s="4"/>
      <c r="N653" s="361"/>
      <c r="O653" s="92">
        <f t="shared" si="103"/>
        <v>89924</v>
      </c>
      <c r="P653" s="92">
        <f t="shared" si="104"/>
        <v>70678</v>
      </c>
      <c r="Q653" s="361">
        <f t="shared" si="105"/>
        <v>78.5974823184022</v>
      </c>
    </row>
    <row r="654" spans="2:17" x14ac:dyDescent="0.2">
      <c r="B654" s="18">
        <f t="shared" si="106"/>
        <v>159</v>
      </c>
      <c r="C654" s="6"/>
      <c r="D654" s="6"/>
      <c r="E654" s="6"/>
      <c r="F654" s="93"/>
      <c r="G654" s="5">
        <v>632</v>
      </c>
      <c r="H654" s="6" t="s">
        <v>134</v>
      </c>
      <c r="I654" s="7">
        <v>40830</v>
      </c>
      <c r="J654" s="7">
        <v>24669</v>
      </c>
      <c r="K654" s="361">
        <f t="shared" si="107"/>
        <v>60.41880969875092</v>
      </c>
      <c r="L654" s="7"/>
      <c r="M654" s="7"/>
      <c r="N654" s="361"/>
      <c r="O654" s="95">
        <f t="shared" si="103"/>
        <v>40830</v>
      </c>
      <c r="P654" s="95">
        <f t="shared" si="104"/>
        <v>24669</v>
      </c>
      <c r="Q654" s="361">
        <f t="shared" si="105"/>
        <v>60.41880969875092</v>
      </c>
    </row>
    <row r="655" spans="2:17" s="22" customFormat="1" x14ac:dyDescent="0.2">
      <c r="B655" s="18">
        <f t="shared" si="106"/>
        <v>160</v>
      </c>
      <c r="C655" s="6"/>
      <c r="D655" s="6"/>
      <c r="E655" s="6"/>
      <c r="F655" s="93"/>
      <c r="G655" s="5">
        <v>633</v>
      </c>
      <c r="H655" s="6" t="s">
        <v>125</v>
      </c>
      <c r="I655" s="7">
        <f>25840-3668-1760+1173-520+3694+861</f>
        <v>25620</v>
      </c>
      <c r="J655" s="7">
        <v>24229</v>
      </c>
      <c r="K655" s="361">
        <f t="shared" si="107"/>
        <v>94.570647931303668</v>
      </c>
      <c r="L655" s="7"/>
      <c r="M655" s="7"/>
      <c r="N655" s="361"/>
      <c r="O655" s="95">
        <f t="shared" si="103"/>
        <v>25620</v>
      </c>
      <c r="P655" s="95">
        <f t="shared" si="104"/>
        <v>24229</v>
      </c>
      <c r="Q655" s="361">
        <f t="shared" si="105"/>
        <v>94.570647931303668</v>
      </c>
    </row>
    <row r="656" spans="2:17" x14ac:dyDescent="0.2">
      <c r="B656" s="18">
        <f t="shared" si="106"/>
        <v>161</v>
      </c>
      <c r="C656" s="6"/>
      <c r="D656" s="6"/>
      <c r="E656" s="6"/>
      <c r="F656" s="93"/>
      <c r="G656" s="5">
        <v>635</v>
      </c>
      <c r="H656" s="6" t="s">
        <v>133</v>
      </c>
      <c r="I656" s="7">
        <f>3400+4000+6000</f>
        <v>13400</v>
      </c>
      <c r="J656" s="7">
        <v>13200</v>
      </c>
      <c r="K656" s="361">
        <f t="shared" si="107"/>
        <v>98.507462686567166</v>
      </c>
      <c r="L656" s="7"/>
      <c r="M656" s="7"/>
      <c r="N656" s="361"/>
      <c r="O656" s="95">
        <f t="shared" si="103"/>
        <v>13400</v>
      </c>
      <c r="P656" s="95">
        <f t="shared" si="104"/>
        <v>13200</v>
      </c>
      <c r="Q656" s="361">
        <f t="shared" ref="Q656:Q658" si="108">P656/O656*100</f>
        <v>98.507462686567166</v>
      </c>
    </row>
    <row r="657" spans="2:17" x14ac:dyDescent="0.2">
      <c r="B657" s="18">
        <f t="shared" si="106"/>
        <v>162</v>
      </c>
      <c r="C657" s="6"/>
      <c r="D657" s="6"/>
      <c r="E657" s="6"/>
      <c r="F657" s="93"/>
      <c r="G657" s="5">
        <v>637</v>
      </c>
      <c r="H657" s="6" t="s">
        <v>122</v>
      </c>
      <c r="I657" s="7">
        <f>9254+520+300</f>
        <v>10074</v>
      </c>
      <c r="J657" s="7">
        <v>8580</v>
      </c>
      <c r="K657" s="361">
        <f t="shared" si="107"/>
        <v>85.169743895175699</v>
      </c>
      <c r="L657" s="7"/>
      <c r="M657" s="7"/>
      <c r="N657" s="361"/>
      <c r="O657" s="95">
        <f t="shared" si="103"/>
        <v>10074</v>
      </c>
      <c r="P657" s="95">
        <f t="shared" si="104"/>
        <v>8580</v>
      </c>
      <c r="Q657" s="361">
        <f t="shared" si="108"/>
        <v>85.169743895175699</v>
      </c>
    </row>
    <row r="658" spans="2:17" x14ac:dyDescent="0.2">
      <c r="B658" s="18">
        <f t="shared" si="106"/>
        <v>163</v>
      </c>
      <c r="C658" s="3"/>
      <c r="D658" s="3"/>
      <c r="E658" s="3"/>
      <c r="F658" s="90" t="s">
        <v>187</v>
      </c>
      <c r="G658" s="2">
        <v>640</v>
      </c>
      <c r="H658" s="3" t="s">
        <v>129</v>
      </c>
      <c r="I658" s="4">
        <f>450+1400+500</f>
        <v>2350</v>
      </c>
      <c r="J658" s="4">
        <v>2290</v>
      </c>
      <c r="K658" s="361">
        <f t="shared" si="107"/>
        <v>97.446808510638292</v>
      </c>
      <c r="L658" s="4"/>
      <c r="M658" s="4"/>
      <c r="N658" s="361"/>
      <c r="O658" s="92">
        <f t="shared" si="103"/>
        <v>2350</v>
      </c>
      <c r="P658" s="92">
        <f t="shared" si="104"/>
        <v>2290</v>
      </c>
      <c r="Q658" s="361">
        <f t="shared" si="108"/>
        <v>97.446808510638292</v>
      </c>
    </row>
    <row r="659" spans="2:17" x14ac:dyDescent="0.2">
      <c r="B659" s="18">
        <f t="shared" si="106"/>
        <v>164</v>
      </c>
      <c r="C659" s="3"/>
      <c r="D659" s="3"/>
      <c r="E659" s="3"/>
      <c r="F659" s="90" t="s">
        <v>187</v>
      </c>
      <c r="G659" s="2">
        <v>710</v>
      </c>
      <c r="H659" s="3" t="s">
        <v>175</v>
      </c>
      <c r="I659" s="4"/>
      <c r="J659" s="4"/>
      <c r="K659" s="361"/>
      <c r="L659" s="4"/>
      <c r="M659" s="4"/>
      <c r="N659" s="361"/>
      <c r="O659" s="92">
        <f t="shared" si="103"/>
        <v>0</v>
      </c>
      <c r="P659" s="92">
        <f t="shared" si="104"/>
        <v>0</v>
      </c>
      <c r="Q659" s="361"/>
    </row>
    <row r="660" spans="2:17" x14ac:dyDescent="0.2">
      <c r="B660" s="18">
        <f t="shared" si="106"/>
        <v>165</v>
      </c>
      <c r="C660" s="3"/>
      <c r="D660" s="3"/>
      <c r="E660" s="3"/>
      <c r="F660" s="90"/>
      <c r="G660" s="5">
        <v>717</v>
      </c>
      <c r="H660" s="6" t="s">
        <v>182</v>
      </c>
      <c r="I660" s="7"/>
      <c r="J660" s="7"/>
      <c r="K660" s="361"/>
      <c r="L660" s="7"/>
      <c r="M660" s="7"/>
      <c r="N660" s="361"/>
      <c r="O660" s="95">
        <f t="shared" si="103"/>
        <v>0</v>
      </c>
      <c r="P660" s="95">
        <f t="shared" si="104"/>
        <v>0</v>
      </c>
      <c r="Q660" s="361"/>
    </row>
    <row r="661" spans="2:17" x14ac:dyDescent="0.2">
      <c r="B661" s="18">
        <f t="shared" si="106"/>
        <v>166</v>
      </c>
      <c r="C661" s="3"/>
      <c r="D661" s="3"/>
      <c r="E661" s="3"/>
      <c r="F661" s="194"/>
      <c r="G661" s="106"/>
      <c r="H661" s="9" t="s">
        <v>628</v>
      </c>
      <c r="I661" s="10"/>
      <c r="J661" s="10"/>
      <c r="K661" s="361"/>
      <c r="L661" s="10"/>
      <c r="M661" s="10"/>
      <c r="N661" s="361"/>
      <c r="O661" s="108">
        <f t="shared" si="103"/>
        <v>0</v>
      </c>
      <c r="P661" s="108">
        <f t="shared" si="104"/>
        <v>0</v>
      </c>
      <c r="Q661" s="361"/>
    </row>
    <row r="662" spans="2:17" x14ac:dyDescent="0.2">
      <c r="B662" s="18">
        <f t="shared" si="106"/>
        <v>167</v>
      </c>
      <c r="C662" s="190"/>
      <c r="D662" s="190"/>
      <c r="E662" s="190" t="s">
        <v>92</v>
      </c>
      <c r="F662" s="191"/>
      <c r="G662" s="191"/>
      <c r="H662" s="190" t="s">
        <v>93</v>
      </c>
      <c r="I662" s="192">
        <f>I663+I664+I665+I670</f>
        <v>174068</v>
      </c>
      <c r="J662" s="192">
        <f>J663+J664+J665+J670</f>
        <v>163165</v>
      </c>
      <c r="K662" s="361">
        <f t="shared" ref="K662:K679" si="109">J662/I662*100</f>
        <v>93.736355906886956</v>
      </c>
      <c r="L662" s="192"/>
      <c r="M662" s="192"/>
      <c r="N662" s="361"/>
      <c r="O662" s="193">
        <f t="shared" si="103"/>
        <v>174068</v>
      </c>
      <c r="P662" s="193">
        <f t="shared" si="104"/>
        <v>163165</v>
      </c>
      <c r="Q662" s="361">
        <f t="shared" ref="Q662:Q693" si="110">P662/O662*100</f>
        <v>93.736355906886956</v>
      </c>
    </row>
    <row r="663" spans="2:17" x14ac:dyDescent="0.2">
      <c r="B663" s="18">
        <f t="shared" si="106"/>
        <v>168</v>
      </c>
      <c r="C663" s="3"/>
      <c r="D663" s="3"/>
      <c r="E663" s="3"/>
      <c r="F663" s="90" t="s">
        <v>187</v>
      </c>
      <c r="G663" s="2">
        <v>610</v>
      </c>
      <c r="H663" s="3" t="s">
        <v>131</v>
      </c>
      <c r="I663" s="4">
        <f>91392+380+3000</f>
        <v>94772</v>
      </c>
      <c r="J663" s="4">
        <v>94168</v>
      </c>
      <c r="K663" s="361">
        <f t="shared" si="109"/>
        <v>99.36268096062129</v>
      </c>
      <c r="L663" s="4"/>
      <c r="M663" s="4"/>
      <c r="N663" s="361"/>
      <c r="O663" s="92">
        <f t="shared" si="103"/>
        <v>94772</v>
      </c>
      <c r="P663" s="92">
        <f t="shared" si="104"/>
        <v>94168</v>
      </c>
      <c r="Q663" s="361">
        <f t="shared" si="110"/>
        <v>99.36268096062129</v>
      </c>
    </row>
    <row r="664" spans="2:17" x14ac:dyDescent="0.2">
      <c r="B664" s="18">
        <f t="shared" si="106"/>
        <v>169</v>
      </c>
      <c r="C664" s="3"/>
      <c r="D664" s="3"/>
      <c r="E664" s="3"/>
      <c r="F664" s="90" t="s">
        <v>187</v>
      </c>
      <c r="G664" s="2">
        <v>620</v>
      </c>
      <c r="H664" s="3" t="s">
        <v>124</v>
      </c>
      <c r="I664" s="4">
        <f>34740+147+500</f>
        <v>35387</v>
      </c>
      <c r="J664" s="4">
        <v>35269</v>
      </c>
      <c r="K664" s="361">
        <f t="shared" si="109"/>
        <v>99.666544211150992</v>
      </c>
      <c r="L664" s="4"/>
      <c r="M664" s="4"/>
      <c r="N664" s="361"/>
      <c r="O664" s="92">
        <f t="shared" si="103"/>
        <v>35387</v>
      </c>
      <c r="P664" s="92">
        <f t="shared" si="104"/>
        <v>35269</v>
      </c>
      <c r="Q664" s="361">
        <f t="shared" si="110"/>
        <v>99.666544211150992</v>
      </c>
    </row>
    <row r="665" spans="2:17" x14ac:dyDescent="0.2">
      <c r="B665" s="18">
        <f t="shared" si="106"/>
        <v>170</v>
      </c>
      <c r="C665" s="3"/>
      <c r="D665" s="3"/>
      <c r="E665" s="3"/>
      <c r="F665" s="90" t="s">
        <v>187</v>
      </c>
      <c r="G665" s="2">
        <v>630</v>
      </c>
      <c r="H665" s="3" t="s">
        <v>121</v>
      </c>
      <c r="I665" s="4">
        <f>SUM(I666:I669)</f>
        <v>40584</v>
      </c>
      <c r="J665" s="4">
        <f>SUM(J666:J669)</f>
        <v>30680</v>
      </c>
      <c r="K665" s="361">
        <f t="shared" si="109"/>
        <v>75.596294106051644</v>
      </c>
      <c r="L665" s="4"/>
      <c r="M665" s="4"/>
      <c r="N665" s="361"/>
      <c r="O665" s="92">
        <f t="shared" si="103"/>
        <v>40584</v>
      </c>
      <c r="P665" s="92">
        <f t="shared" si="104"/>
        <v>30680</v>
      </c>
      <c r="Q665" s="361">
        <f t="shared" si="110"/>
        <v>75.596294106051644</v>
      </c>
    </row>
    <row r="666" spans="2:17" x14ac:dyDescent="0.2">
      <c r="B666" s="18">
        <f t="shared" si="106"/>
        <v>171</v>
      </c>
      <c r="C666" s="6"/>
      <c r="D666" s="6"/>
      <c r="E666" s="6"/>
      <c r="F666" s="93"/>
      <c r="G666" s="5">
        <v>632</v>
      </c>
      <c r="H666" s="6" t="s">
        <v>134</v>
      </c>
      <c r="I666" s="7">
        <v>19815</v>
      </c>
      <c r="J666" s="7">
        <v>11637</v>
      </c>
      <c r="K666" s="361">
        <f t="shared" si="109"/>
        <v>58.72823618470855</v>
      </c>
      <c r="L666" s="7"/>
      <c r="M666" s="7"/>
      <c r="N666" s="361"/>
      <c r="O666" s="95">
        <f t="shared" si="103"/>
        <v>19815</v>
      </c>
      <c r="P666" s="95">
        <f t="shared" si="104"/>
        <v>11637</v>
      </c>
      <c r="Q666" s="361">
        <f t="shared" si="110"/>
        <v>58.72823618470855</v>
      </c>
    </row>
    <row r="667" spans="2:17" x14ac:dyDescent="0.2">
      <c r="B667" s="18">
        <f t="shared" si="106"/>
        <v>172</v>
      </c>
      <c r="C667" s="6"/>
      <c r="D667" s="6"/>
      <c r="E667" s="6"/>
      <c r="F667" s="93"/>
      <c r="G667" s="5">
        <v>633</v>
      </c>
      <c r="H667" s="6" t="s">
        <v>125</v>
      </c>
      <c r="I667" s="7">
        <f>13655-2047-527-340+1478</f>
        <v>12219</v>
      </c>
      <c r="J667" s="7">
        <v>11572</v>
      </c>
      <c r="K667" s="361">
        <f t="shared" si="109"/>
        <v>94.704967673295698</v>
      </c>
      <c r="L667" s="7"/>
      <c r="M667" s="7"/>
      <c r="N667" s="361"/>
      <c r="O667" s="95">
        <f t="shared" si="103"/>
        <v>12219</v>
      </c>
      <c r="P667" s="95">
        <f t="shared" si="104"/>
        <v>11572</v>
      </c>
      <c r="Q667" s="361">
        <f t="shared" si="110"/>
        <v>94.704967673295698</v>
      </c>
    </row>
    <row r="668" spans="2:17" x14ac:dyDescent="0.2">
      <c r="B668" s="18">
        <f t="shared" si="106"/>
        <v>173</v>
      </c>
      <c r="C668" s="6"/>
      <c r="D668" s="6"/>
      <c r="E668" s="6"/>
      <c r="F668" s="93"/>
      <c r="G668" s="5">
        <v>635</v>
      </c>
      <c r="H668" s="6" t="s">
        <v>133</v>
      </c>
      <c r="I668" s="7">
        <v>3000</v>
      </c>
      <c r="J668" s="7">
        <v>2575</v>
      </c>
      <c r="K668" s="361">
        <f t="shared" si="109"/>
        <v>85.833333333333329</v>
      </c>
      <c r="L668" s="7"/>
      <c r="M668" s="7"/>
      <c r="N668" s="361"/>
      <c r="O668" s="95">
        <f t="shared" si="103"/>
        <v>3000</v>
      </c>
      <c r="P668" s="95">
        <f t="shared" si="104"/>
        <v>2575</v>
      </c>
      <c r="Q668" s="361">
        <f t="shared" si="110"/>
        <v>85.833333333333329</v>
      </c>
    </row>
    <row r="669" spans="2:17" x14ac:dyDescent="0.2">
      <c r="B669" s="18">
        <f t="shared" si="106"/>
        <v>174</v>
      </c>
      <c r="C669" s="6"/>
      <c r="D669" s="6"/>
      <c r="E669" s="6"/>
      <c r="F669" s="93"/>
      <c r="G669" s="5">
        <v>637</v>
      </c>
      <c r="H669" s="6" t="s">
        <v>122</v>
      </c>
      <c r="I669" s="7">
        <f>4480+45+340+685</f>
        <v>5550</v>
      </c>
      <c r="J669" s="7">
        <v>4896</v>
      </c>
      <c r="K669" s="361">
        <f t="shared" si="109"/>
        <v>88.21621621621621</v>
      </c>
      <c r="L669" s="7"/>
      <c r="M669" s="7"/>
      <c r="N669" s="361"/>
      <c r="O669" s="95">
        <f t="shared" si="103"/>
        <v>5550</v>
      </c>
      <c r="P669" s="95">
        <f t="shared" si="104"/>
        <v>4896</v>
      </c>
      <c r="Q669" s="361">
        <f t="shared" si="110"/>
        <v>88.21621621621621</v>
      </c>
    </row>
    <row r="670" spans="2:17" x14ac:dyDescent="0.2">
      <c r="B670" s="18">
        <f t="shared" si="106"/>
        <v>175</v>
      </c>
      <c r="C670" s="3"/>
      <c r="D670" s="3"/>
      <c r="E670" s="3"/>
      <c r="F670" s="90" t="s">
        <v>187</v>
      </c>
      <c r="G670" s="2">
        <v>640</v>
      </c>
      <c r="H670" s="3" t="s">
        <v>129</v>
      </c>
      <c r="I670" s="4">
        <f>2925+400</f>
        <v>3325</v>
      </c>
      <c r="J670" s="4">
        <v>3048</v>
      </c>
      <c r="K670" s="361">
        <f t="shared" si="109"/>
        <v>91.669172932330824</v>
      </c>
      <c r="L670" s="4"/>
      <c r="M670" s="4"/>
      <c r="N670" s="361"/>
      <c r="O670" s="92">
        <f t="shared" si="103"/>
        <v>3325</v>
      </c>
      <c r="P670" s="92">
        <f t="shared" si="104"/>
        <v>3048</v>
      </c>
      <c r="Q670" s="361">
        <f t="shared" si="110"/>
        <v>91.669172932330824</v>
      </c>
    </row>
    <row r="671" spans="2:17" ht="13.5" customHeight="1" x14ac:dyDescent="0.2">
      <c r="B671" s="18">
        <f t="shared" si="106"/>
        <v>176</v>
      </c>
      <c r="C671" s="190"/>
      <c r="D671" s="190"/>
      <c r="E671" s="190" t="s">
        <v>87</v>
      </c>
      <c r="F671" s="191"/>
      <c r="G671" s="191"/>
      <c r="H671" s="190" t="s">
        <v>196</v>
      </c>
      <c r="I671" s="192">
        <f>I672+I673+I674+I679</f>
        <v>215624</v>
      </c>
      <c r="J671" s="192">
        <f>J672+J673+J674+J679</f>
        <v>194388</v>
      </c>
      <c r="K671" s="361">
        <f t="shared" si="109"/>
        <v>90.151374615070679</v>
      </c>
      <c r="L671" s="192">
        <f>L680</f>
        <v>10000</v>
      </c>
      <c r="M671" s="192">
        <f>M680</f>
        <v>10000</v>
      </c>
      <c r="N671" s="361">
        <f>M671/L671*100</f>
        <v>100</v>
      </c>
      <c r="O671" s="193">
        <f t="shared" si="103"/>
        <v>225624</v>
      </c>
      <c r="P671" s="193">
        <f t="shared" si="104"/>
        <v>204388</v>
      </c>
      <c r="Q671" s="361">
        <f t="shared" si="110"/>
        <v>90.587880721909016</v>
      </c>
    </row>
    <row r="672" spans="2:17" ht="12.75" customHeight="1" x14ac:dyDescent="0.2">
      <c r="B672" s="18">
        <f t="shared" si="106"/>
        <v>177</v>
      </c>
      <c r="C672" s="3"/>
      <c r="D672" s="3"/>
      <c r="E672" s="3"/>
      <c r="F672" s="90" t="s">
        <v>187</v>
      </c>
      <c r="G672" s="2">
        <v>610</v>
      </c>
      <c r="H672" s="3" t="s">
        <v>131</v>
      </c>
      <c r="I672" s="4">
        <f>108308+595+212+9211</f>
        <v>118326</v>
      </c>
      <c r="J672" s="4">
        <v>116899</v>
      </c>
      <c r="K672" s="361">
        <f t="shared" si="109"/>
        <v>98.794009769619535</v>
      </c>
      <c r="L672" s="4"/>
      <c r="M672" s="4"/>
      <c r="N672" s="361"/>
      <c r="O672" s="92">
        <f t="shared" si="103"/>
        <v>118326</v>
      </c>
      <c r="P672" s="92">
        <f t="shared" si="104"/>
        <v>116899</v>
      </c>
      <c r="Q672" s="361">
        <f t="shared" si="110"/>
        <v>98.794009769619535</v>
      </c>
    </row>
    <row r="673" spans="2:17" x14ac:dyDescent="0.2">
      <c r="B673" s="18">
        <f t="shared" si="106"/>
        <v>178</v>
      </c>
      <c r="C673" s="3"/>
      <c r="D673" s="3"/>
      <c r="E673" s="3"/>
      <c r="F673" s="90" t="s">
        <v>187</v>
      </c>
      <c r="G673" s="2">
        <v>620</v>
      </c>
      <c r="H673" s="3" t="s">
        <v>124</v>
      </c>
      <c r="I673" s="4">
        <f>40124+234+75+4076</f>
        <v>44509</v>
      </c>
      <c r="J673" s="4">
        <v>44216</v>
      </c>
      <c r="K673" s="361">
        <f t="shared" si="109"/>
        <v>99.341706171785489</v>
      </c>
      <c r="L673" s="4"/>
      <c r="M673" s="4"/>
      <c r="N673" s="361"/>
      <c r="O673" s="92">
        <f t="shared" si="103"/>
        <v>44509</v>
      </c>
      <c r="P673" s="92">
        <f t="shared" si="104"/>
        <v>44216</v>
      </c>
      <c r="Q673" s="361">
        <f t="shared" si="110"/>
        <v>99.341706171785489</v>
      </c>
    </row>
    <row r="674" spans="2:17" x14ac:dyDescent="0.2">
      <c r="B674" s="18">
        <f t="shared" si="106"/>
        <v>179</v>
      </c>
      <c r="C674" s="3"/>
      <c r="D674" s="3"/>
      <c r="E674" s="3"/>
      <c r="F674" s="90" t="s">
        <v>187</v>
      </c>
      <c r="G674" s="2">
        <v>630</v>
      </c>
      <c r="H674" s="3" t="s">
        <v>121</v>
      </c>
      <c r="I674" s="4">
        <f>SUM(I675:I678)</f>
        <v>52069</v>
      </c>
      <c r="J674" s="4">
        <f>SUM(J675:J678)</f>
        <v>32774</v>
      </c>
      <c r="K674" s="361">
        <f t="shared" si="109"/>
        <v>62.943402024237074</v>
      </c>
      <c r="L674" s="4"/>
      <c r="M674" s="4"/>
      <c r="N674" s="361"/>
      <c r="O674" s="92">
        <f t="shared" si="103"/>
        <v>52069</v>
      </c>
      <c r="P674" s="92">
        <f t="shared" si="104"/>
        <v>32774</v>
      </c>
      <c r="Q674" s="361">
        <f t="shared" si="110"/>
        <v>62.943402024237074</v>
      </c>
    </row>
    <row r="675" spans="2:17" x14ac:dyDescent="0.2">
      <c r="B675" s="18">
        <f t="shared" si="106"/>
        <v>180</v>
      </c>
      <c r="C675" s="6"/>
      <c r="D675" s="6"/>
      <c r="E675" s="6"/>
      <c r="F675" s="93"/>
      <c r="G675" s="5">
        <v>632</v>
      </c>
      <c r="H675" s="6" t="s">
        <v>134</v>
      </c>
      <c r="I675" s="7">
        <v>28195</v>
      </c>
      <c r="J675" s="7">
        <v>11451</v>
      </c>
      <c r="K675" s="361">
        <f t="shared" si="109"/>
        <v>40.613583968788788</v>
      </c>
      <c r="L675" s="7"/>
      <c r="M675" s="7"/>
      <c r="N675" s="361"/>
      <c r="O675" s="95">
        <f t="shared" si="103"/>
        <v>28195</v>
      </c>
      <c r="P675" s="95">
        <f t="shared" si="104"/>
        <v>11451</v>
      </c>
      <c r="Q675" s="361">
        <f t="shared" si="110"/>
        <v>40.613583968788788</v>
      </c>
    </row>
    <row r="676" spans="2:17" x14ac:dyDescent="0.2">
      <c r="B676" s="18">
        <f t="shared" si="106"/>
        <v>181</v>
      </c>
      <c r="C676" s="6"/>
      <c r="D676" s="6"/>
      <c r="E676" s="6"/>
      <c r="F676" s="93"/>
      <c r="G676" s="5">
        <v>633</v>
      </c>
      <c r="H676" s="6" t="s">
        <v>125</v>
      </c>
      <c r="I676" s="7">
        <f>19355-1721-1712+289-2279+1722</f>
        <v>15654</v>
      </c>
      <c r="J676" s="7">
        <v>15090</v>
      </c>
      <c r="K676" s="361">
        <f t="shared" si="109"/>
        <v>96.397087006515903</v>
      </c>
      <c r="L676" s="7"/>
      <c r="M676" s="7"/>
      <c r="N676" s="361"/>
      <c r="O676" s="95">
        <f t="shared" si="103"/>
        <v>15654</v>
      </c>
      <c r="P676" s="95">
        <f t="shared" si="104"/>
        <v>15090</v>
      </c>
      <c r="Q676" s="361">
        <f t="shared" si="110"/>
        <v>96.397087006515903</v>
      </c>
    </row>
    <row r="677" spans="2:17" x14ac:dyDescent="0.2">
      <c r="B677" s="18">
        <f t="shared" si="106"/>
        <v>182</v>
      </c>
      <c r="C677" s="6"/>
      <c r="D677" s="6"/>
      <c r="E677" s="6"/>
      <c r="F677" s="93"/>
      <c r="G677" s="5">
        <v>635</v>
      </c>
      <c r="H677" s="6" t="s">
        <v>133</v>
      </c>
      <c r="I677" s="7">
        <f>2000-1000+800</f>
        <v>1800</v>
      </c>
      <c r="J677" s="7">
        <v>1656</v>
      </c>
      <c r="K677" s="361">
        <f t="shared" si="109"/>
        <v>92</v>
      </c>
      <c r="L677" s="7"/>
      <c r="M677" s="7"/>
      <c r="N677" s="361"/>
      <c r="O677" s="95">
        <f t="shared" si="103"/>
        <v>1800</v>
      </c>
      <c r="P677" s="95">
        <f t="shared" si="104"/>
        <v>1656</v>
      </c>
      <c r="Q677" s="361">
        <f t="shared" si="110"/>
        <v>92</v>
      </c>
    </row>
    <row r="678" spans="2:17" x14ac:dyDescent="0.2">
      <c r="B678" s="18">
        <f t="shared" si="106"/>
        <v>183</v>
      </c>
      <c r="C678" s="6"/>
      <c r="D678" s="6"/>
      <c r="E678" s="6"/>
      <c r="F678" s="93"/>
      <c r="G678" s="5">
        <v>637</v>
      </c>
      <c r="H678" s="6" t="s">
        <v>122</v>
      </c>
      <c r="I678" s="7">
        <f>4875+395+1150</f>
        <v>6420</v>
      </c>
      <c r="J678" s="7">
        <v>4577</v>
      </c>
      <c r="K678" s="361">
        <f t="shared" si="109"/>
        <v>71.292834890965722</v>
      </c>
      <c r="L678" s="7"/>
      <c r="M678" s="7"/>
      <c r="N678" s="361"/>
      <c r="O678" s="95">
        <f t="shared" si="103"/>
        <v>6420</v>
      </c>
      <c r="P678" s="95">
        <f t="shared" si="104"/>
        <v>4577</v>
      </c>
      <c r="Q678" s="361">
        <f t="shared" si="110"/>
        <v>71.292834890965722</v>
      </c>
    </row>
    <row r="679" spans="2:17" x14ac:dyDescent="0.2">
      <c r="B679" s="18">
        <f t="shared" si="106"/>
        <v>184</v>
      </c>
      <c r="C679" s="3"/>
      <c r="D679" s="3"/>
      <c r="E679" s="3"/>
      <c r="F679" s="90" t="s">
        <v>187</v>
      </c>
      <c r="G679" s="2">
        <v>640</v>
      </c>
      <c r="H679" s="3" t="s">
        <v>129</v>
      </c>
      <c r="I679" s="4">
        <f>450+270</f>
        <v>720</v>
      </c>
      <c r="J679" s="4">
        <v>499</v>
      </c>
      <c r="K679" s="361">
        <f t="shared" si="109"/>
        <v>69.305555555555557</v>
      </c>
      <c r="L679" s="4"/>
      <c r="M679" s="4"/>
      <c r="N679" s="361"/>
      <c r="O679" s="92">
        <f t="shared" si="103"/>
        <v>720</v>
      </c>
      <c r="P679" s="92">
        <f t="shared" si="104"/>
        <v>499</v>
      </c>
      <c r="Q679" s="361">
        <f t="shared" si="110"/>
        <v>69.305555555555557</v>
      </c>
    </row>
    <row r="680" spans="2:17" x14ac:dyDescent="0.2">
      <c r="B680" s="18">
        <f t="shared" si="106"/>
        <v>185</v>
      </c>
      <c r="C680" s="3"/>
      <c r="D680" s="3"/>
      <c r="E680" s="3"/>
      <c r="F680" s="90" t="s">
        <v>187</v>
      </c>
      <c r="G680" s="2">
        <v>710</v>
      </c>
      <c r="H680" s="3" t="s">
        <v>175</v>
      </c>
      <c r="I680" s="4"/>
      <c r="J680" s="4"/>
      <c r="K680" s="361"/>
      <c r="L680" s="4">
        <f>L681</f>
        <v>10000</v>
      </c>
      <c r="M680" s="4">
        <f>M681</f>
        <v>10000</v>
      </c>
      <c r="N680" s="361">
        <f>M680/L680*100</f>
        <v>100</v>
      </c>
      <c r="O680" s="92">
        <f t="shared" si="103"/>
        <v>10000</v>
      </c>
      <c r="P680" s="92">
        <f t="shared" si="104"/>
        <v>10000</v>
      </c>
      <c r="Q680" s="361">
        <f t="shared" si="110"/>
        <v>100</v>
      </c>
    </row>
    <row r="681" spans="2:17" x14ac:dyDescent="0.2">
      <c r="B681" s="18">
        <f t="shared" si="106"/>
        <v>186</v>
      </c>
      <c r="C681" s="3"/>
      <c r="D681" s="3"/>
      <c r="E681" s="3"/>
      <c r="F681" s="90"/>
      <c r="G681" s="5">
        <v>713</v>
      </c>
      <c r="H681" s="6" t="s">
        <v>218</v>
      </c>
      <c r="I681" s="7"/>
      <c r="J681" s="7"/>
      <c r="K681" s="361"/>
      <c r="L681" s="7">
        <f>L682</f>
        <v>10000</v>
      </c>
      <c r="M681" s="7">
        <f>M682</f>
        <v>10000</v>
      </c>
      <c r="N681" s="361">
        <f>M681/L681*100</f>
        <v>100</v>
      </c>
      <c r="O681" s="95">
        <f t="shared" si="103"/>
        <v>10000</v>
      </c>
      <c r="P681" s="95">
        <f t="shared" si="104"/>
        <v>10000</v>
      </c>
      <c r="Q681" s="361">
        <f t="shared" si="110"/>
        <v>100</v>
      </c>
    </row>
    <row r="682" spans="2:17" x14ac:dyDescent="0.2">
      <c r="B682" s="18">
        <f t="shared" si="106"/>
        <v>187</v>
      </c>
      <c r="C682" s="3"/>
      <c r="D682" s="3"/>
      <c r="E682" s="3"/>
      <c r="F682" s="194"/>
      <c r="G682" s="106"/>
      <c r="H682" s="9" t="s">
        <v>682</v>
      </c>
      <c r="I682" s="10"/>
      <c r="J682" s="10"/>
      <c r="K682" s="361"/>
      <c r="L682" s="10">
        <v>10000</v>
      </c>
      <c r="M682" s="10">
        <v>10000</v>
      </c>
      <c r="N682" s="361">
        <f>M682/L682*100</f>
        <v>100</v>
      </c>
      <c r="O682" s="108">
        <f t="shared" si="103"/>
        <v>10000</v>
      </c>
      <c r="P682" s="108">
        <f t="shared" si="104"/>
        <v>10000</v>
      </c>
      <c r="Q682" s="361">
        <f t="shared" si="110"/>
        <v>100</v>
      </c>
    </row>
    <row r="683" spans="2:17" x14ac:dyDescent="0.2">
      <c r="B683" s="18">
        <f t="shared" si="106"/>
        <v>188</v>
      </c>
      <c r="C683" s="190"/>
      <c r="D683" s="190"/>
      <c r="E683" s="190" t="s">
        <v>103</v>
      </c>
      <c r="F683" s="191"/>
      <c r="G683" s="191"/>
      <c r="H683" s="190" t="s">
        <v>68</v>
      </c>
      <c r="I683" s="192">
        <f>I684+I685+I686+I692</f>
        <v>226412</v>
      </c>
      <c r="J683" s="192">
        <f>J684+J685+J686+J692</f>
        <v>211920</v>
      </c>
      <c r="K683" s="361">
        <f t="shared" ref="K683:K703" si="111">J683/I683*100</f>
        <v>93.599279190148934</v>
      </c>
      <c r="L683" s="192"/>
      <c r="M683" s="192"/>
      <c r="N683" s="361"/>
      <c r="O683" s="193">
        <f t="shared" si="103"/>
        <v>226412</v>
      </c>
      <c r="P683" s="193">
        <f t="shared" si="104"/>
        <v>211920</v>
      </c>
      <c r="Q683" s="361">
        <f t="shared" si="110"/>
        <v>93.599279190148934</v>
      </c>
    </row>
    <row r="684" spans="2:17" x14ac:dyDescent="0.2">
      <c r="B684" s="18">
        <f t="shared" si="106"/>
        <v>189</v>
      </c>
      <c r="C684" s="3"/>
      <c r="D684" s="3"/>
      <c r="E684" s="3"/>
      <c r="F684" s="90" t="s">
        <v>187</v>
      </c>
      <c r="G684" s="2">
        <v>610</v>
      </c>
      <c r="H684" s="3" t="s">
        <v>131</v>
      </c>
      <c r="I684" s="4">
        <f>123403+388+1922-1416</f>
        <v>124297</v>
      </c>
      <c r="J684" s="4">
        <v>121236</v>
      </c>
      <c r="K684" s="361">
        <f t="shared" si="111"/>
        <v>97.537350056718992</v>
      </c>
      <c r="L684" s="4"/>
      <c r="M684" s="4"/>
      <c r="N684" s="361"/>
      <c r="O684" s="92">
        <f t="shared" si="103"/>
        <v>124297</v>
      </c>
      <c r="P684" s="92">
        <f t="shared" si="104"/>
        <v>121236</v>
      </c>
      <c r="Q684" s="361">
        <f t="shared" si="110"/>
        <v>97.537350056718992</v>
      </c>
    </row>
    <row r="685" spans="2:17" x14ac:dyDescent="0.2">
      <c r="B685" s="18">
        <f t="shared" si="106"/>
        <v>190</v>
      </c>
      <c r="C685" s="3"/>
      <c r="D685" s="3"/>
      <c r="E685" s="3"/>
      <c r="F685" s="90" t="s">
        <v>187</v>
      </c>
      <c r="G685" s="2">
        <v>620</v>
      </c>
      <c r="H685" s="3" t="s">
        <v>124</v>
      </c>
      <c r="I685" s="4">
        <f>46883+154+906-799</f>
        <v>47144</v>
      </c>
      <c r="J685" s="4">
        <v>45809</v>
      </c>
      <c r="K685" s="361">
        <f t="shared" si="111"/>
        <v>97.168250466655365</v>
      </c>
      <c r="L685" s="4"/>
      <c r="M685" s="4"/>
      <c r="N685" s="361"/>
      <c r="O685" s="92">
        <f t="shared" si="103"/>
        <v>47144</v>
      </c>
      <c r="P685" s="92">
        <f t="shared" si="104"/>
        <v>45809</v>
      </c>
      <c r="Q685" s="361">
        <f t="shared" si="110"/>
        <v>97.168250466655365</v>
      </c>
    </row>
    <row r="686" spans="2:17" x14ac:dyDescent="0.2">
      <c r="B686" s="18">
        <f t="shared" si="106"/>
        <v>191</v>
      </c>
      <c r="C686" s="3"/>
      <c r="D686" s="3"/>
      <c r="E686" s="3"/>
      <c r="F686" s="90" t="s">
        <v>187</v>
      </c>
      <c r="G686" s="2">
        <v>630</v>
      </c>
      <c r="H686" s="3" t="s">
        <v>121</v>
      </c>
      <c r="I686" s="4">
        <f>SUM(I687:I691)</f>
        <v>53045</v>
      </c>
      <c r="J686" s="4">
        <f>SUM(J687:J691)</f>
        <v>42950</v>
      </c>
      <c r="K686" s="361">
        <f t="shared" si="111"/>
        <v>80.96898859458949</v>
      </c>
      <c r="L686" s="4"/>
      <c r="M686" s="4"/>
      <c r="N686" s="361"/>
      <c r="O686" s="92">
        <f t="shared" si="103"/>
        <v>53045</v>
      </c>
      <c r="P686" s="92">
        <f t="shared" si="104"/>
        <v>42950</v>
      </c>
      <c r="Q686" s="361">
        <f t="shared" si="110"/>
        <v>80.96898859458949</v>
      </c>
    </row>
    <row r="687" spans="2:17" x14ac:dyDescent="0.2">
      <c r="B687" s="18">
        <f t="shared" si="106"/>
        <v>192</v>
      </c>
      <c r="C687" s="6"/>
      <c r="D687" s="6"/>
      <c r="E687" s="6"/>
      <c r="F687" s="93"/>
      <c r="G687" s="5">
        <v>632</v>
      </c>
      <c r="H687" s="6" t="s">
        <v>134</v>
      </c>
      <c r="I687" s="7">
        <v>650</v>
      </c>
      <c r="J687" s="7">
        <v>405</v>
      </c>
      <c r="K687" s="361">
        <f t="shared" si="111"/>
        <v>62.307692307692307</v>
      </c>
      <c r="L687" s="7"/>
      <c r="M687" s="7"/>
      <c r="N687" s="361"/>
      <c r="O687" s="95">
        <f t="shared" si="103"/>
        <v>650</v>
      </c>
      <c r="P687" s="95">
        <f t="shared" si="104"/>
        <v>405</v>
      </c>
      <c r="Q687" s="361">
        <f t="shared" si="110"/>
        <v>62.307692307692307</v>
      </c>
    </row>
    <row r="688" spans="2:17" x14ac:dyDescent="0.2">
      <c r="B688" s="18">
        <f t="shared" si="106"/>
        <v>193</v>
      </c>
      <c r="C688" s="6"/>
      <c r="D688" s="6"/>
      <c r="E688" s="6"/>
      <c r="F688" s="93"/>
      <c r="G688" s="5">
        <v>633</v>
      </c>
      <c r="H688" s="6" t="s">
        <v>125</v>
      </c>
      <c r="I688" s="7">
        <f>16456-2623-1426+1325+926+1722</f>
        <v>16380</v>
      </c>
      <c r="J688" s="7">
        <v>16195</v>
      </c>
      <c r="K688" s="361">
        <f t="shared" si="111"/>
        <v>98.870573870573878</v>
      </c>
      <c r="L688" s="7"/>
      <c r="M688" s="7"/>
      <c r="N688" s="361"/>
      <c r="O688" s="95">
        <f t="shared" ref="O688:O751" si="112">I688+L688</f>
        <v>16380</v>
      </c>
      <c r="P688" s="95">
        <f t="shared" ref="P688:P751" si="113">J688+M688</f>
        <v>16195</v>
      </c>
      <c r="Q688" s="361">
        <f t="shared" si="110"/>
        <v>98.870573870573878</v>
      </c>
    </row>
    <row r="689" spans="2:17" x14ac:dyDescent="0.2">
      <c r="B689" s="18">
        <f t="shared" ref="B689:B752" si="114">B688+1</f>
        <v>194</v>
      </c>
      <c r="C689" s="6"/>
      <c r="D689" s="6"/>
      <c r="E689" s="6"/>
      <c r="F689" s="93"/>
      <c r="G689" s="5">
        <v>635</v>
      </c>
      <c r="H689" s="6" t="s">
        <v>133</v>
      </c>
      <c r="I689" s="7">
        <f>1700+200</f>
        <v>1900</v>
      </c>
      <c r="J689" s="7">
        <v>1874</v>
      </c>
      <c r="K689" s="361">
        <f t="shared" si="111"/>
        <v>98.631578947368425</v>
      </c>
      <c r="L689" s="7"/>
      <c r="M689" s="7"/>
      <c r="N689" s="361"/>
      <c r="O689" s="95">
        <f t="shared" si="112"/>
        <v>1900</v>
      </c>
      <c r="P689" s="95">
        <f t="shared" si="113"/>
        <v>1874</v>
      </c>
      <c r="Q689" s="361">
        <f t="shared" si="110"/>
        <v>98.631578947368425</v>
      </c>
    </row>
    <row r="690" spans="2:17" x14ac:dyDescent="0.2">
      <c r="B690" s="18">
        <f t="shared" si="114"/>
        <v>195</v>
      </c>
      <c r="C690" s="6"/>
      <c r="D690" s="6"/>
      <c r="E690" s="6"/>
      <c r="F690" s="93"/>
      <c r="G690" s="5">
        <v>636</v>
      </c>
      <c r="H690" s="6" t="s">
        <v>126</v>
      </c>
      <c r="I690" s="7">
        <v>28000</v>
      </c>
      <c r="J690" s="7">
        <v>20217</v>
      </c>
      <c r="K690" s="361">
        <f t="shared" si="111"/>
        <v>72.203571428571436</v>
      </c>
      <c r="L690" s="7"/>
      <c r="M690" s="7"/>
      <c r="N690" s="361"/>
      <c r="O690" s="95">
        <f t="shared" si="112"/>
        <v>28000</v>
      </c>
      <c r="P690" s="95">
        <f t="shared" si="113"/>
        <v>20217</v>
      </c>
      <c r="Q690" s="361">
        <f t="shared" si="110"/>
        <v>72.203571428571436</v>
      </c>
    </row>
    <row r="691" spans="2:17" x14ac:dyDescent="0.2">
      <c r="B691" s="18">
        <f t="shared" si="114"/>
        <v>196</v>
      </c>
      <c r="C691" s="6"/>
      <c r="D691" s="6"/>
      <c r="E691" s="6"/>
      <c r="F691" s="93"/>
      <c r="G691" s="5">
        <v>637</v>
      </c>
      <c r="H691" s="6" t="s">
        <v>122</v>
      </c>
      <c r="I691" s="7">
        <f>5655+160+300</f>
        <v>6115</v>
      </c>
      <c r="J691" s="7">
        <v>4259</v>
      </c>
      <c r="K691" s="361">
        <f t="shared" si="111"/>
        <v>69.648405560098112</v>
      </c>
      <c r="L691" s="7"/>
      <c r="M691" s="7"/>
      <c r="N691" s="361"/>
      <c r="O691" s="95">
        <f t="shared" si="112"/>
        <v>6115</v>
      </c>
      <c r="P691" s="95">
        <f t="shared" si="113"/>
        <v>4259</v>
      </c>
      <c r="Q691" s="361">
        <f t="shared" si="110"/>
        <v>69.648405560098112</v>
      </c>
    </row>
    <row r="692" spans="2:17" x14ac:dyDescent="0.2">
      <c r="B692" s="18">
        <f t="shared" si="114"/>
        <v>197</v>
      </c>
      <c r="C692" s="3"/>
      <c r="D692" s="3"/>
      <c r="E692" s="3"/>
      <c r="F692" s="90" t="s">
        <v>187</v>
      </c>
      <c r="G692" s="2">
        <v>640</v>
      </c>
      <c r="H692" s="3" t="s">
        <v>129</v>
      </c>
      <c r="I692" s="4">
        <f>3826-2500+600</f>
        <v>1926</v>
      </c>
      <c r="J692" s="4">
        <v>1925</v>
      </c>
      <c r="K692" s="361">
        <f t="shared" si="111"/>
        <v>99.948078920041539</v>
      </c>
      <c r="L692" s="4"/>
      <c r="M692" s="4"/>
      <c r="N692" s="361"/>
      <c r="O692" s="92">
        <f t="shared" si="112"/>
        <v>1926</v>
      </c>
      <c r="P692" s="92">
        <f t="shared" si="113"/>
        <v>1925</v>
      </c>
      <c r="Q692" s="361">
        <f t="shared" si="110"/>
        <v>99.948078920041539</v>
      </c>
    </row>
    <row r="693" spans="2:17" x14ac:dyDescent="0.2">
      <c r="B693" s="18">
        <f t="shared" si="114"/>
        <v>198</v>
      </c>
      <c r="C693" s="190"/>
      <c r="D693" s="190"/>
      <c r="E693" s="190" t="s">
        <v>104</v>
      </c>
      <c r="F693" s="191"/>
      <c r="G693" s="191"/>
      <c r="H693" s="190" t="s">
        <v>105</v>
      </c>
      <c r="I693" s="192">
        <f>I694+I695+I696+I703</f>
        <v>665016</v>
      </c>
      <c r="J693" s="192">
        <f>J694+J695+J696+J703</f>
        <v>635837</v>
      </c>
      <c r="K693" s="361">
        <f t="shared" si="111"/>
        <v>95.612286020185977</v>
      </c>
      <c r="L693" s="192">
        <f>L704</f>
        <v>22000</v>
      </c>
      <c r="M693" s="192">
        <f>M704</f>
        <v>20945</v>
      </c>
      <c r="N693" s="361">
        <f>M693/L693*100</f>
        <v>95.204545454545453</v>
      </c>
      <c r="O693" s="193">
        <f t="shared" si="112"/>
        <v>687016</v>
      </c>
      <c r="P693" s="193">
        <f t="shared" si="113"/>
        <v>656782</v>
      </c>
      <c r="Q693" s="361">
        <f t="shared" si="110"/>
        <v>95.599229130034814</v>
      </c>
    </row>
    <row r="694" spans="2:17" x14ac:dyDescent="0.2">
      <c r="B694" s="18">
        <f t="shared" si="114"/>
        <v>199</v>
      </c>
      <c r="C694" s="3"/>
      <c r="D694" s="3"/>
      <c r="E694" s="3"/>
      <c r="F694" s="90" t="s">
        <v>187</v>
      </c>
      <c r="G694" s="2">
        <v>610</v>
      </c>
      <c r="H694" s="3" t="s">
        <v>131</v>
      </c>
      <c r="I694" s="4">
        <f>358620+100+208+4701+18668</f>
        <v>382297</v>
      </c>
      <c r="J694" s="4">
        <v>376497</v>
      </c>
      <c r="K694" s="361">
        <f t="shared" si="111"/>
        <v>98.482854953086218</v>
      </c>
      <c r="L694" s="4"/>
      <c r="M694" s="4"/>
      <c r="N694" s="361"/>
      <c r="O694" s="92">
        <f t="shared" si="112"/>
        <v>382297</v>
      </c>
      <c r="P694" s="92">
        <f t="shared" si="113"/>
        <v>376497</v>
      </c>
      <c r="Q694" s="361">
        <f t="shared" ref="Q694:Q725" si="115">P694/O694*100</f>
        <v>98.482854953086218</v>
      </c>
    </row>
    <row r="695" spans="2:17" x14ac:dyDescent="0.2">
      <c r="B695" s="18">
        <f t="shared" si="114"/>
        <v>200</v>
      </c>
      <c r="C695" s="3"/>
      <c r="D695" s="3"/>
      <c r="E695" s="3"/>
      <c r="F695" s="90" t="s">
        <v>187</v>
      </c>
      <c r="G695" s="2">
        <v>620</v>
      </c>
      <c r="H695" s="3" t="s">
        <v>124</v>
      </c>
      <c r="I695" s="4">
        <f>132613+35+126+2803+4675</f>
        <v>140252</v>
      </c>
      <c r="J695" s="4">
        <v>139613</v>
      </c>
      <c r="K695" s="361">
        <f t="shared" si="111"/>
        <v>99.544391523828537</v>
      </c>
      <c r="L695" s="4"/>
      <c r="M695" s="4"/>
      <c r="N695" s="361"/>
      <c r="O695" s="92">
        <f t="shared" si="112"/>
        <v>140252</v>
      </c>
      <c r="P695" s="92">
        <f t="shared" si="113"/>
        <v>139613</v>
      </c>
      <c r="Q695" s="361">
        <f t="shared" si="115"/>
        <v>99.544391523828537</v>
      </c>
    </row>
    <row r="696" spans="2:17" x14ac:dyDescent="0.2">
      <c r="B696" s="18">
        <f t="shared" si="114"/>
        <v>201</v>
      </c>
      <c r="C696" s="3"/>
      <c r="D696" s="3"/>
      <c r="E696" s="3"/>
      <c r="F696" s="90" t="s">
        <v>187</v>
      </c>
      <c r="G696" s="2">
        <v>630</v>
      </c>
      <c r="H696" s="3" t="s">
        <v>121</v>
      </c>
      <c r="I696" s="4">
        <f>SUM(I697:I702)</f>
        <v>138417</v>
      </c>
      <c r="J696" s="4">
        <f>SUM(J697:J702)</f>
        <v>115678</v>
      </c>
      <c r="K696" s="361">
        <f t="shared" si="111"/>
        <v>83.572104582529604</v>
      </c>
      <c r="L696" s="4"/>
      <c r="M696" s="4"/>
      <c r="N696" s="361"/>
      <c r="O696" s="92">
        <f t="shared" si="112"/>
        <v>138417</v>
      </c>
      <c r="P696" s="92">
        <f t="shared" si="113"/>
        <v>115678</v>
      </c>
      <c r="Q696" s="361">
        <f t="shared" si="115"/>
        <v>83.572104582529604</v>
      </c>
    </row>
    <row r="697" spans="2:17" x14ac:dyDescent="0.2">
      <c r="B697" s="18">
        <f t="shared" si="114"/>
        <v>202</v>
      </c>
      <c r="C697" s="6"/>
      <c r="D697" s="6"/>
      <c r="E697" s="6"/>
      <c r="F697" s="93"/>
      <c r="G697" s="5">
        <v>632</v>
      </c>
      <c r="H697" s="6" t="s">
        <v>134</v>
      </c>
      <c r="I697" s="7">
        <v>44595</v>
      </c>
      <c r="J697" s="7">
        <v>26087</v>
      </c>
      <c r="K697" s="361">
        <f t="shared" si="111"/>
        <v>58.497589415853788</v>
      </c>
      <c r="L697" s="7"/>
      <c r="M697" s="7"/>
      <c r="N697" s="361"/>
      <c r="O697" s="95">
        <f t="shared" si="112"/>
        <v>44595</v>
      </c>
      <c r="P697" s="95">
        <f t="shared" si="113"/>
        <v>26087</v>
      </c>
      <c r="Q697" s="361">
        <f t="shared" si="115"/>
        <v>58.497589415853788</v>
      </c>
    </row>
    <row r="698" spans="2:17" x14ac:dyDescent="0.2">
      <c r="B698" s="18">
        <f t="shared" si="114"/>
        <v>203</v>
      </c>
      <c r="C698" s="6"/>
      <c r="D698" s="6"/>
      <c r="E698" s="6"/>
      <c r="F698" s="93"/>
      <c r="G698" s="5">
        <v>633</v>
      </c>
      <c r="H698" s="6" t="s">
        <v>125</v>
      </c>
      <c r="I698" s="7">
        <f>60306-3923-11825+1094+4022+1148</f>
        <v>50822</v>
      </c>
      <c r="J698" s="7">
        <v>49527</v>
      </c>
      <c r="K698" s="361">
        <f t="shared" si="111"/>
        <v>97.451890913383963</v>
      </c>
      <c r="L698" s="7"/>
      <c r="M698" s="7"/>
      <c r="N698" s="361"/>
      <c r="O698" s="95">
        <f t="shared" si="112"/>
        <v>50822</v>
      </c>
      <c r="P698" s="95">
        <f t="shared" si="113"/>
        <v>49527</v>
      </c>
      <c r="Q698" s="361">
        <f t="shared" si="115"/>
        <v>97.451890913383963</v>
      </c>
    </row>
    <row r="699" spans="2:17" x14ac:dyDescent="0.2">
      <c r="B699" s="18">
        <f t="shared" si="114"/>
        <v>204</v>
      </c>
      <c r="C699" s="6"/>
      <c r="D699" s="6"/>
      <c r="E699" s="6"/>
      <c r="F699" s="93"/>
      <c r="G699" s="5">
        <v>634</v>
      </c>
      <c r="H699" s="6" t="s">
        <v>132</v>
      </c>
      <c r="I699" s="7">
        <v>310</v>
      </c>
      <c r="J699" s="7">
        <v>310</v>
      </c>
      <c r="K699" s="361">
        <f t="shared" si="111"/>
        <v>100</v>
      </c>
      <c r="L699" s="7"/>
      <c r="M699" s="7"/>
      <c r="N699" s="361"/>
      <c r="O699" s="95">
        <f t="shared" si="112"/>
        <v>310</v>
      </c>
      <c r="P699" s="95">
        <f t="shared" si="113"/>
        <v>310</v>
      </c>
      <c r="Q699" s="361">
        <f t="shared" si="115"/>
        <v>100</v>
      </c>
    </row>
    <row r="700" spans="2:17" x14ac:dyDescent="0.2">
      <c r="B700" s="18">
        <f t="shared" si="114"/>
        <v>205</v>
      </c>
      <c r="C700" s="6"/>
      <c r="D700" s="6"/>
      <c r="E700" s="6"/>
      <c r="F700" s="93"/>
      <c r="G700" s="5">
        <v>635</v>
      </c>
      <c r="H700" s="6" t="s">
        <v>133</v>
      </c>
      <c r="I700" s="7">
        <f>16300-4000</f>
        <v>12300</v>
      </c>
      <c r="J700" s="7">
        <v>12048</v>
      </c>
      <c r="K700" s="361">
        <f t="shared" si="111"/>
        <v>97.951219512195124</v>
      </c>
      <c r="L700" s="7"/>
      <c r="M700" s="7"/>
      <c r="N700" s="361"/>
      <c r="O700" s="95">
        <f t="shared" si="112"/>
        <v>12300</v>
      </c>
      <c r="P700" s="95">
        <f t="shared" si="113"/>
        <v>12048</v>
      </c>
      <c r="Q700" s="361">
        <f t="shared" si="115"/>
        <v>97.951219512195124</v>
      </c>
    </row>
    <row r="701" spans="2:17" x14ac:dyDescent="0.2">
      <c r="B701" s="18">
        <f t="shared" si="114"/>
        <v>206</v>
      </c>
      <c r="C701" s="6"/>
      <c r="D701" s="6"/>
      <c r="E701" s="6"/>
      <c r="F701" s="93"/>
      <c r="G701" s="5">
        <v>636</v>
      </c>
      <c r="H701" s="6" t="s">
        <v>126</v>
      </c>
      <c r="I701" s="7">
        <v>10000</v>
      </c>
      <c r="J701" s="7">
        <v>9002</v>
      </c>
      <c r="K701" s="361">
        <f t="shared" si="111"/>
        <v>90.02</v>
      </c>
      <c r="L701" s="7"/>
      <c r="M701" s="7"/>
      <c r="N701" s="361"/>
      <c r="O701" s="95">
        <f t="shared" si="112"/>
        <v>10000</v>
      </c>
      <c r="P701" s="95">
        <f t="shared" si="113"/>
        <v>9002</v>
      </c>
      <c r="Q701" s="361">
        <f t="shared" si="115"/>
        <v>90.02</v>
      </c>
    </row>
    <row r="702" spans="2:17" x14ac:dyDescent="0.2">
      <c r="B702" s="18">
        <f t="shared" si="114"/>
        <v>207</v>
      </c>
      <c r="C702" s="6"/>
      <c r="D702" s="6"/>
      <c r="E702" s="6"/>
      <c r="F702" s="93"/>
      <c r="G702" s="5">
        <v>637</v>
      </c>
      <c r="H702" s="6" t="s">
        <v>122</v>
      </c>
      <c r="I702" s="7">
        <f>20265+345-220</f>
        <v>20390</v>
      </c>
      <c r="J702" s="7">
        <v>18704</v>
      </c>
      <c r="K702" s="361">
        <f t="shared" si="111"/>
        <v>91.731240804315846</v>
      </c>
      <c r="L702" s="7"/>
      <c r="M702" s="7"/>
      <c r="N702" s="361"/>
      <c r="O702" s="95">
        <f t="shared" si="112"/>
        <v>20390</v>
      </c>
      <c r="P702" s="95">
        <f t="shared" si="113"/>
        <v>18704</v>
      </c>
      <c r="Q702" s="361">
        <f t="shared" si="115"/>
        <v>91.731240804315846</v>
      </c>
    </row>
    <row r="703" spans="2:17" x14ac:dyDescent="0.2">
      <c r="B703" s="18">
        <f t="shared" si="114"/>
        <v>208</v>
      </c>
      <c r="C703" s="3"/>
      <c r="D703" s="3"/>
      <c r="E703" s="3"/>
      <c r="F703" s="90" t="s">
        <v>187</v>
      </c>
      <c r="G703" s="2">
        <v>640</v>
      </c>
      <c r="H703" s="3" t="s">
        <v>129</v>
      </c>
      <c r="I703" s="4">
        <f>450+3100+500</f>
        <v>4050</v>
      </c>
      <c r="J703" s="4">
        <v>4049</v>
      </c>
      <c r="K703" s="361">
        <f t="shared" si="111"/>
        <v>99.975308641975317</v>
      </c>
      <c r="L703" s="4"/>
      <c r="M703" s="4"/>
      <c r="N703" s="361"/>
      <c r="O703" s="92">
        <f t="shared" si="112"/>
        <v>4050</v>
      </c>
      <c r="P703" s="92">
        <f t="shared" si="113"/>
        <v>4049</v>
      </c>
      <c r="Q703" s="361">
        <f t="shared" si="115"/>
        <v>99.975308641975317</v>
      </c>
    </row>
    <row r="704" spans="2:17" s="122" customFormat="1" x14ac:dyDescent="0.2">
      <c r="B704" s="18">
        <f t="shared" si="114"/>
        <v>209</v>
      </c>
      <c r="C704" s="3"/>
      <c r="D704" s="3"/>
      <c r="E704" s="3"/>
      <c r="F704" s="90" t="s">
        <v>187</v>
      </c>
      <c r="G704" s="2">
        <v>710</v>
      </c>
      <c r="H704" s="3" t="s">
        <v>175</v>
      </c>
      <c r="I704" s="4"/>
      <c r="J704" s="4"/>
      <c r="K704" s="361"/>
      <c r="L704" s="4">
        <f>L705</f>
        <v>22000</v>
      </c>
      <c r="M704" s="4">
        <f>M705</f>
        <v>20945</v>
      </c>
      <c r="N704" s="361">
        <f>M704/L704*100</f>
        <v>95.204545454545453</v>
      </c>
      <c r="O704" s="92">
        <f t="shared" si="112"/>
        <v>22000</v>
      </c>
      <c r="P704" s="92">
        <f t="shared" si="113"/>
        <v>20945</v>
      </c>
      <c r="Q704" s="361">
        <f t="shared" si="115"/>
        <v>95.204545454545453</v>
      </c>
    </row>
    <row r="705" spans="2:17" s="122" customFormat="1" x14ac:dyDescent="0.2">
      <c r="B705" s="18">
        <f t="shared" si="114"/>
        <v>210</v>
      </c>
      <c r="C705" s="6"/>
      <c r="D705" s="6"/>
      <c r="E705" s="6"/>
      <c r="F705" s="93"/>
      <c r="G705" s="5">
        <v>717</v>
      </c>
      <c r="H705" s="6" t="s">
        <v>182</v>
      </c>
      <c r="I705" s="7"/>
      <c r="J705" s="7"/>
      <c r="K705" s="361"/>
      <c r="L705" s="7">
        <f>L706</f>
        <v>22000</v>
      </c>
      <c r="M705" s="7">
        <f>M706</f>
        <v>20945</v>
      </c>
      <c r="N705" s="361">
        <f>M705/L705*100</f>
        <v>95.204545454545453</v>
      </c>
      <c r="O705" s="95">
        <f t="shared" si="112"/>
        <v>22000</v>
      </c>
      <c r="P705" s="95">
        <f t="shared" si="113"/>
        <v>20945</v>
      </c>
      <c r="Q705" s="361">
        <f t="shared" si="115"/>
        <v>95.204545454545453</v>
      </c>
    </row>
    <row r="706" spans="2:17" s="122" customFormat="1" x14ac:dyDescent="0.2">
      <c r="B706" s="18">
        <f t="shared" si="114"/>
        <v>211</v>
      </c>
      <c r="C706" s="6"/>
      <c r="D706" s="6"/>
      <c r="E706" s="6"/>
      <c r="F706" s="93"/>
      <c r="G706" s="5"/>
      <c r="H706" s="9" t="s">
        <v>347</v>
      </c>
      <c r="I706" s="7"/>
      <c r="J706" s="7"/>
      <c r="K706" s="361"/>
      <c r="L706" s="10">
        <f>1000+21000</f>
        <v>22000</v>
      </c>
      <c r="M706" s="10">
        <v>20945</v>
      </c>
      <c r="N706" s="361">
        <f>M706/L706*100</f>
        <v>95.204545454545453</v>
      </c>
      <c r="O706" s="95">
        <f t="shared" si="112"/>
        <v>22000</v>
      </c>
      <c r="P706" s="95">
        <f t="shared" si="113"/>
        <v>20945</v>
      </c>
      <c r="Q706" s="361">
        <f t="shared" si="115"/>
        <v>95.204545454545453</v>
      </c>
    </row>
    <row r="707" spans="2:17" ht="15" x14ac:dyDescent="0.2">
      <c r="B707" s="18">
        <f t="shared" si="114"/>
        <v>212</v>
      </c>
      <c r="C707" s="82">
        <v>2</v>
      </c>
      <c r="D707" s="495" t="s">
        <v>181</v>
      </c>
      <c r="E707" s="496"/>
      <c r="F707" s="496"/>
      <c r="G707" s="496"/>
      <c r="H707" s="496"/>
      <c r="I707" s="83">
        <f>I708+I713+I741+I765+I792+I823+I853+I883+I913+I712</f>
        <v>17583634</v>
      </c>
      <c r="J707" s="83">
        <f>J708+J713+J741+J765+J792+J823+J853+J883+J913+J712</f>
        <v>16790235</v>
      </c>
      <c r="K707" s="361">
        <f t="shared" ref="K707:K734" si="116">J707/I707*100</f>
        <v>95.487855354587111</v>
      </c>
      <c r="L707" s="83">
        <f>L708+L713+L741+L765+L792+L823+L853+L883+L913</f>
        <v>2276246</v>
      </c>
      <c r="M707" s="83">
        <f>M708+M713+M741+M765+M792+M823+M853+M883+M913</f>
        <v>724694</v>
      </c>
      <c r="N707" s="361">
        <f>M707/L707*100</f>
        <v>31.837244304877416</v>
      </c>
      <c r="O707" s="99">
        <f t="shared" si="112"/>
        <v>19859880</v>
      </c>
      <c r="P707" s="99">
        <f t="shared" si="113"/>
        <v>17514929</v>
      </c>
      <c r="Q707" s="361">
        <f t="shared" si="115"/>
        <v>88.19252180778534</v>
      </c>
    </row>
    <row r="708" spans="2:17" x14ac:dyDescent="0.2">
      <c r="B708" s="18">
        <f t="shared" si="114"/>
        <v>213</v>
      </c>
      <c r="C708" s="3"/>
      <c r="D708" s="3"/>
      <c r="E708" s="3"/>
      <c r="F708" s="90" t="s">
        <v>119</v>
      </c>
      <c r="G708" s="2">
        <v>630</v>
      </c>
      <c r="H708" s="3" t="s">
        <v>121</v>
      </c>
      <c r="I708" s="4">
        <f>SUM(I709:I711)</f>
        <v>27075</v>
      </c>
      <c r="J708" s="4">
        <f>SUM(J709:J711)</f>
        <v>9522</v>
      </c>
      <c r="K708" s="361">
        <f t="shared" si="116"/>
        <v>35.168975069252078</v>
      </c>
      <c r="L708" s="4"/>
      <c r="M708" s="4"/>
      <c r="N708" s="361"/>
      <c r="O708" s="92">
        <f t="shared" si="112"/>
        <v>27075</v>
      </c>
      <c r="P708" s="92">
        <f t="shared" si="113"/>
        <v>9522</v>
      </c>
      <c r="Q708" s="361">
        <f t="shared" si="115"/>
        <v>35.168975069252078</v>
      </c>
    </row>
    <row r="709" spans="2:17" x14ac:dyDescent="0.2">
      <c r="B709" s="18">
        <f t="shared" si="114"/>
        <v>214</v>
      </c>
      <c r="C709" s="3"/>
      <c r="D709" s="3"/>
      <c r="E709" s="3"/>
      <c r="F709" s="90"/>
      <c r="G709" s="5">
        <v>633</v>
      </c>
      <c r="H709" s="6" t="s">
        <v>125</v>
      </c>
      <c r="I709" s="7">
        <v>12000</v>
      </c>
      <c r="J709" s="7">
        <v>0</v>
      </c>
      <c r="K709" s="361">
        <f t="shared" si="116"/>
        <v>0</v>
      </c>
      <c r="L709" s="4"/>
      <c r="M709" s="4"/>
      <c r="N709" s="361"/>
      <c r="O709" s="95">
        <f t="shared" si="112"/>
        <v>12000</v>
      </c>
      <c r="P709" s="95">
        <f t="shared" si="113"/>
        <v>0</v>
      </c>
      <c r="Q709" s="361">
        <f t="shared" si="115"/>
        <v>0</v>
      </c>
    </row>
    <row r="710" spans="2:17" ht="24" x14ac:dyDescent="0.2">
      <c r="B710" s="18">
        <f t="shared" si="114"/>
        <v>215</v>
      </c>
      <c r="C710" s="385"/>
      <c r="D710" s="385"/>
      <c r="E710" s="385"/>
      <c r="F710" s="386"/>
      <c r="G710" s="214">
        <v>633</v>
      </c>
      <c r="H710" s="68" t="s">
        <v>629</v>
      </c>
      <c r="I710" s="69">
        <v>9600</v>
      </c>
      <c r="J710" s="69">
        <f>6922+2600</f>
        <v>9522</v>
      </c>
      <c r="K710" s="380">
        <f t="shared" si="116"/>
        <v>99.1875</v>
      </c>
      <c r="L710" s="387"/>
      <c r="M710" s="387"/>
      <c r="N710" s="380"/>
      <c r="O710" s="215">
        <f t="shared" si="112"/>
        <v>9600</v>
      </c>
      <c r="P710" s="215">
        <f t="shared" si="113"/>
        <v>9522</v>
      </c>
      <c r="Q710" s="380">
        <f t="shared" si="115"/>
        <v>99.1875</v>
      </c>
    </row>
    <row r="711" spans="2:17" x14ac:dyDescent="0.2">
      <c r="B711" s="18">
        <f t="shared" si="114"/>
        <v>216</v>
      </c>
      <c r="C711" s="6"/>
      <c r="D711" s="6"/>
      <c r="E711" s="6"/>
      <c r="F711" s="93"/>
      <c r="G711" s="5">
        <v>637</v>
      </c>
      <c r="H711" s="6" t="s">
        <v>122</v>
      </c>
      <c r="I711" s="7">
        <f>6000-525</f>
        <v>5475</v>
      </c>
      <c r="J711" s="7">
        <v>0</v>
      </c>
      <c r="K711" s="361">
        <f t="shared" si="116"/>
        <v>0</v>
      </c>
      <c r="L711" s="7"/>
      <c r="M711" s="7"/>
      <c r="N711" s="361"/>
      <c r="O711" s="95">
        <f t="shared" si="112"/>
        <v>5475</v>
      </c>
      <c r="P711" s="95">
        <f t="shared" si="113"/>
        <v>0</v>
      </c>
      <c r="Q711" s="361">
        <f t="shared" si="115"/>
        <v>0</v>
      </c>
    </row>
    <row r="712" spans="2:17" x14ac:dyDescent="0.2">
      <c r="B712" s="18">
        <f t="shared" si="114"/>
        <v>217</v>
      </c>
      <c r="C712" s="6"/>
      <c r="D712" s="6"/>
      <c r="E712" s="6"/>
      <c r="F712" s="93"/>
      <c r="G712" s="5">
        <v>600</v>
      </c>
      <c r="H712" s="6" t="s">
        <v>625</v>
      </c>
      <c r="I712" s="7">
        <v>7764</v>
      </c>
      <c r="J712" s="7">
        <v>546</v>
      </c>
      <c r="K712" s="361">
        <f t="shared" si="116"/>
        <v>7.0324574961360113</v>
      </c>
      <c r="L712" s="7"/>
      <c r="M712" s="7"/>
      <c r="N712" s="361"/>
      <c r="O712" s="95">
        <f t="shared" si="112"/>
        <v>7764</v>
      </c>
      <c r="P712" s="95">
        <f t="shared" si="113"/>
        <v>546</v>
      </c>
      <c r="Q712" s="361">
        <f t="shared" si="115"/>
        <v>7.0324574961360113</v>
      </c>
    </row>
    <row r="713" spans="2:17" ht="15" x14ac:dyDescent="0.25">
      <c r="B713" s="18">
        <f t="shared" si="114"/>
        <v>218</v>
      </c>
      <c r="C713" s="176"/>
      <c r="D713" s="176"/>
      <c r="E713" s="176">
        <v>6</v>
      </c>
      <c r="F713" s="177"/>
      <c r="G713" s="177"/>
      <c r="H713" s="176" t="s">
        <v>284</v>
      </c>
      <c r="I713" s="178">
        <f>I714+I715+I716+I723+I724+I725+I726+I733+I734</f>
        <v>1515229</v>
      </c>
      <c r="J713" s="178">
        <f>J714+J715+J716+J723+J724+J725+J726+J733+J734</f>
        <v>1457678</v>
      </c>
      <c r="K713" s="361">
        <f t="shared" si="116"/>
        <v>96.201828238503879</v>
      </c>
      <c r="L713" s="178">
        <f>L735</f>
        <v>83562</v>
      </c>
      <c r="M713" s="178">
        <f>M735</f>
        <v>62962</v>
      </c>
      <c r="N713" s="361">
        <f>M713/L713*100</f>
        <v>75.347646059213517</v>
      </c>
      <c r="O713" s="179">
        <f t="shared" si="112"/>
        <v>1598791</v>
      </c>
      <c r="P713" s="179">
        <f t="shared" si="113"/>
        <v>1520640</v>
      </c>
      <c r="Q713" s="361">
        <f t="shared" si="115"/>
        <v>95.11186890594206</v>
      </c>
    </row>
    <row r="714" spans="2:17" x14ac:dyDescent="0.2">
      <c r="B714" s="18">
        <f t="shared" si="114"/>
        <v>219</v>
      </c>
      <c r="C714" s="3"/>
      <c r="D714" s="3"/>
      <c r="E714" s="3"/>
      <c r="F714" s="90" t="s">
        <v>119</v>
      </c>
      <c r="G714" s="2">
        <v>610</v>
      </c>
      <c r="H714" s="3" t="s">
        <v>131</v>
      </c>
      <c r="I714" s="4">
        <f>312244-13240+19640+119</f>
        <v>318763</v>
      </c>
      <c r="J714" s="4">
        <v>318763</v>
      </c>
      <c r="K714" s="361">
        <f t="shared" si="116"/>
        <v>100</v>
      </c>
      <c r="L714" s="4"/>
      <c r="M714" s="4"/>
      <c r="N714" s="361"/>
      <c r="O714" s="92">
        <f t="shared" si="112"/>
        <v>318763</v>
      </c>
      <c r="P714" s="92">
        <f t="shared" si="113"/>
        <v>318763</v>
      </c>
      <c r="Q714" s="361">
        <f t="shared" si="115"/>
        <v>100</v>
      </c>
    </row>
    <row r="715" spans="2:17" x14ac:dyDescent="0.2">
      <c r="B715" s="18">
        <f t="shared" si="114"/>
        <v>220</v>
      </c>
      <c r="C715" s="3"/>
      <c r="D715" s="3"/>
      <c r="E715" s="3"/>
      <c r="F715" s="90" t="s">
        <v>119</v>
      </c>
      <c r="G715" s="2">
        <v>620</v>
      </c>
      <c r="H715" s="3" t="s">
        <v>124</v>
      </c>
      <c r="I715" s="4">
        <f>108174-4760+12368-119</f>
        <v>115663</v>
      </c>
      <c r="J715" s="4">
        <v>115664</v>
      </c>
      <c r="K715" s="361">
        <f t="shared" si="116"/>
        <v>100.00086458072157</v>
      </c>
      <c r="L715" s="4"/>
      <c r="M715" s="4"/>
      <c r="N715" s="361"/>
      <c r="O715" s="92">
        <f t="shared" si="112"/>
        <v>115663</v>
      </c>
      <c r="P715" s="92">
        <f t="shared" si="113"/>
        <v>115664</v>
      </c>
      <c r="Q715" s="361">
        <f t="shared" si="115"/>
        <v>100.00086458072157</v>
      </c>
    </row>
    <row r="716" spans="2:17" x14ac:dyDescent="0.2">
      <c r="B716" s="18">
        <f t="shared" si="114"/>
        <v>221</v>
      </c>
      <c r="C716" s="3"/>
      <c r="D716" s="3"/>
      <c r="E716" s="3"/>
      <c r="F716" s="90" t="s">
        <v>119</v>
      </c>
      <c r="G716" s="2">
        <v>630</v>
      </c>
      <c r="H716" s="3" t="s">
        <v>121</v>
      </c>
      <c r="I716" s="4">
        <f>SUM(I717:I722)</f>
        <v>96508</v>
      </c>
      <c r="J716" s="4">
        <f>SUM(J717:J722)</f>
        <v>69060</v>
      </c>
      <c r="K716" s="361">
        <f t="shared" si="116"/>
        <v>71.558834500766778</v>
      </c>
      <c r="L716" s="4"/>
      <c r="M716" s="4"/>
      <c r="N716" s="361"/>
      <c r="O716" s="92">
        <f t="shared" si="112"/>
        <v>96508</v>
      </c>
      <c r="P716" s="92">
        <f t="shared" si="113"/>
        <v>69060</v>
      </c>
      <c r="Q716" s="361">
        <f t="shared" si="115"/>
        <v>71.558834500766778</v>
      </c>
    </row>
    <row r="717" spans="2:17" x14ac:dyDescent="0.2">
      <c r="B717" s="18">
        <f t="shared" si="114"/>
        <v>222</v>
      </c>
      <c r="C717" s="6"/>
      <c r="D717" s="6"/>
      <c r="E717" s="6"/>
      <c r="F717" s="93"/>
      <c r="G717" s="5">
        <v>631</v>
      </c>
      <c r="H717" s="6" t="s">
        <v>127</v>
      </c>
      <c r="I717" s="7">
        <v>433</v>
      </c>
      <c r="J717" s="7">
        <v>0</v>
      </c>
      <c r="K717" s="361">
        <f t="shared" si="116"/>
        <v>0</v>
      </c>
      <c r="L717" s="7"/>
      <c r="M717" s="7"/>
      <c r="N717" s="361"/>
      <c r="O717" s="95">
        <f t="shared" si="112"/>
        <v>433</v>
      </c>
      <c r="P717" s="95">
        <f t="shared" si="113"/>
        <v>0</v>
      </c>
      <c r="Q717" s="361">
        <f t="shared" si="115"/>
        <v>0</v>
      </c>
    </row>
    <row r="718" spans="2:17" x14ac:dyDescent="0.2">
      <c r="B718" s="18">
        <f t="shared" si="114"/>
        <v>223</v>
      </c>
      <c r="C718" s="6"/>
      <c r="D718" s="6"/>
      <c r="E718" s="6"/>
      <c r="F718" s="93"/>
      <c r="G718" s="5">
        <v>632</v>
      </c>
      <c r="H718" s="6" t="s">
        <v>134</v>
      </c>
      <c r="I718" s="7">
        <f>73434-40400</f>
        <v>33034</v>
      </c>
      <c r="J718" s="7">
        <v>19080</v>
      </c>
      <c r="K718" s="361">
        <f t="shared" si="116"/>
        <v>57.75867288248471</v>
      </c>
      <c r="L718" s="7"/>
      <c r="M718" s="7"/>
      <c r="N718" s="361"/>
      <c r="O718" s="95">
        <f t="shared" si="112"/>
        <v>33034</v>
      </c>
      <c r="P718" s="95">
        <f t="shared" si="113"/>
        <v>19080</v>
      </c>
      <c r="Q718" s="361">
        <f t="shared" si="115"/>
        <v>57.75867288248471</v>
      </c>
    </row>
    <row r="719" spans="2:17" x14ac:dyDescent="0.2">
      <c r="B719" s="18">
        <f t="shared" si="114"/>
        <v>224</v>
      </c>
      <c r="C719" s="6"/>
      <c r="D719" s="6"/>
      <c r="E719" s="6"/>
      <c r="F719" s="93"/>
      <c r="G719" s="5">
        <v>633</v>
      </c>
      <c r="H719" s="6" t="s">
        <v>125</v>
      </c>
      <c r="I719" s="7">
        <f>20400-11790+17171</f>
        <v>25781</v>
      </c>
      <c r="J719" s="7">
        <v>25519</v>
      </c>
      <c r="K719" s="361">
        <f t="shared" si="116"/>
        <v>98.983747721190014</v>
      </c>
      <c r="L719" s="7"/>
      <c r="M719" s="7"/>
      <c r="N719" s="361"/>
      <c r="O719" s="95">
        <f t="shared" si="112"/>
        <v>25781</v>
      </c>
      <c r="P719" s="95">
        <f t="shared" si="113"/>
        <v>25519</v>
      </c>
      <c r="Q719" s="361">
        <f t="shared" si="115"/>
        <v>98.983747721190014</v>
      </c>
    </row>
    <row r="720" spans="2:17" x14ac:dyDescent="0.2">
      <c r="B720" s="18">
        <f t="shared" si="114"/>
        <v>225</v>
      </c>
      <c r="C720" s="6"/>
      <c r="D720" s="6"/>
      <c r="E720" s="6"/>
      <c r="F720" s="93"/>
      <c r="G720" s="5">
        <v>634</v>
      </c>
      <c r="H720" s="6" t="s">
        <v>132</v>
      </c>
      <c r="I720" s="7">
        <f>1059-987</f>
        <v>72</v>
      </c>
      <c r="J720" s="7">
        <v>43</v>
      </c>
      <c r="K720" s="361">
        <f t="shared" si="116"/>
        <v>59.722222222222221</v>
      </c>
      <c r="L720" s="7"/>
      <c r="M720" s="7"/>
      <c r="N720" s="361"/>
      <c r="O720" s="95">
        <f t="shared" si="112"/>
        <v>72</v>
      </c>
      <c r="P720" s="95">
        <f t="shared" si="113"/>
        <v>43</v>
      </c>
      <c r="Q720" s="361">
        <f t="shared" si="115"/>
        <v>59.722222222222221</v>
      </c>
    </row>
    <row r="721" spans="2:17" x14ac:dyDescent="0.2">
      <c r="B721" s="18">
        <f t="shared" si="114"/>
        <v>226</v>
      </c>
      <c r="C721" s="6"/>
      <c r="D721" s="6"/>
      <c r="E721" s="6"/>
      <c r="F721" s="93"/>
      <c r="G721" s="5">
        <v>635</v>
      </c>
      <c r="H721" s="6" t="s">
        <v>133</v>
      </c>
      <c r="I721" s="7">
        <v>10856</v>
      </c>
      <c r="J721" s="7">
        <v>3486</v>
      </c>
      <c r="K721" s="361">
        <f t="shared" si="116"/>
        <v>32.111274871039058</v>
      </c>
      <c r="L721" s="7"/>
      <c r="M721" s="7"/>
      <c r="N721" s="361"/>
      <c r="O721" s="95">
        <f t="shared" si="112"/>
        <v>10856</v>
      </c>
      <c r="P721" s="95">
        <f t="shared" si="113"/>
        <v>3486</v>
      </c>
      <c r="Q721" s="361">
        <f t="shared" si="115"/>
        <v>32.111274871039058</v>
      </c>
    </row>
    <row r="722" spans="2:17" x14ac:dyDescent="0.2">
      <c r="B722" s="18">
        <f t="shared" si="114"/>
        <v>227</v>
      </c>
      <c r="C722" s="6"/>
      <c r="D722" s="6"/>
      <c r="E722" s="6"/>
      <c r="F722" s="93"/>
      <c r="G722" s="5">
        <v>637</v>
      </c>
      <c r="H722" s="6" t="s">
        <v>122</v>
      </c>
      <c r="I722" s="7">
        <f>22808+3524</f>
        <v>26332</v>
      </c>
      <c r="J722" s="7">
        <v>20932</v>
      </c>
      <c r="K722" s="361">
        <f t="shared" si="116"/>
        <v>79.492632538356361</v>
      </c>
      <c r="L722" s="7"/>
      <c r="M722" s="7"/>
      <c r="N722" s="361"/>
      <c r="O722" s="95">
        <f t="shared" si="112"/>
        <v>26332</v>
      </c>
      <c r="P722" s="95">
        <f t="shared" si="113"/>
        <v>20932</v>
      </c>
      <c r="Q722" s="361">
        <f t="shared" si="115"/>
        <v>79.492632538356361</v>
      </c>
    </row>
    <row r="723" spans="2:17" x14ac:dyDescent="0.2">
      <c r="B723" s="18">
        <f t="shared" si="114"/>
        <v>228</v>
      </c>
      <c r="C723" s="3"/>
      <c r="D723" s="3"/>
      <c r="E723" s="3"/>
      <c r="F723" s="90" t="s">
        <v>119</v>
      </c>
      <c r="G723" s="2">
        <v>640</v>
      </c>
      <c r="H723" s="3" t="s">
        <v>129</v>
      </c>
      <c r="I723" s="4">
        <f>1903+866</f>
        <v>2769</v>
      </c>
      <c r="J723" s="4">
        <v>2768</v>
      </c>
      <c r="K723" s="361">
        <f t="shared" si="116"/>
        <v>99.963885879378836</v>
      </c>
      <c r="L723" s="4"/>
      <c r="M723" s="4"/>
      <c r="N723" s="361"/>
      <c r="O723" s="92">
        <f t="shared" si="112"/>
        <v>2769</v>
      </c>
      <c r="P723" s="92">
        <f t="shared" si="113"/>
        <v>2768</v>
      </c>
      <c r="Q723" s="361">
        <f t="shared" si="115"/>
        <v>99.963885879378836</v>
      </c>
    </row>
    <row r="724" spans="2:17" x14ac:dyDescent="0.2">
      <c r="B724" s="18">
        <f t="shared" si="114"/>
        <v>229</v>
      </c>
      <c r="C724" s="3"/>
      <c r="D724" s="3"/>
      <c r="E724" s="3"/>
      <c r="F724" s="90" t="s">
        <v>108</v>
      </c>
      <c r="G724" s="2">
        <v>610</v>
      </c>
      <c r="H724" s="3" t="s">
        <v>131</v>
      </c>
      <c r="I724" s="4">
        <f>496277+100-16182+111413+203</f>
        <v>591811</v>
      </c>
      <c r="J724" s="4">
        <v>591812</v>
      </c>
      <c r="K724" s="361">
        <f t="shared" si="116"/>
        <v>100.00016897286466</v>
      </c>
      <c r="L724" s="4"/>
      <c r="M724" s="4"/>
      <c r="N724" s="361"/>
      <c r="O724" s="92">
        <f t="shared" si="112"/>
        <v>591811</v>
      </c>
      <c r="P724" s="92">
        <f t="shared" si="113"/>
        <v>591812</v>
      </c>
      <c r="Q724" s="361">
        <f t="shared" si="115"/>
        <v>100.00016897286466</v>
      </c>
    </row>
    <row r="725" spans="2:17" x14ac:dyDescent="0.2">
      <c r="B725" s="18">
        <f t="shared" si="114"/>
        <v>230</v>
      </c>
      <c r="C725" s="3"/>
      <c r="D725" s="3"/>
      <c r="E725" s="3"/>
      <c r="F725" s="90" t="s">
        <v>108</v>
      </c>
      <c r="G725" s="2">
        <v>620</v>
      </c>
      <c r="H725" s="3" t="s">
        <v>124</v>
      </c>
      <c r="I725" s="4">
        <f>172794+35-5818+44643-203</f>
        <v>211451</v>
      </c>
      <c r="J725" s="4">
        <v>211450</v>
      </c>
      <c r="K725" s="361">
        <f t="shared" si="116"/>
        <v>99.999527077195197</v>
      </c>
      <c r="L725" s="4"/>
      <c r="M725" s="4"/>
      <c r="N725" s="361"/>
      <c r="O725" s="92">
        <f t="shared" si="112"/>
        <v>211451</v>
      </c>
      <c r="P725" s="92">
        <f t="shared" si="113"/>
        <v>211450</v>
      </c>
      <c r="Q725" s="361">
        <f t="shared" si="115"/>
        <v>99.999527077195197</v>
      </c>
    </row>
    <row r="726" spans="2:17" x14ac:dyDescent="0.2">
      <c r="B726" s="18">
        <f t="shared" si="114"/>
        <v>231</v>
      </c>
      <c r="C726" s="3"/>
      <c r="D726" s="3"/>
      <c r="E726" s="3"/>
      <c r="F726" s="90" t="s">
        <v>108</v>
      </c>
      <c r="G726" s="2">
        <v>630</v>
      </c>
      <c r="H726" s="3" t="s">
        <v>121</v>
      </c>
      <c r="I726" s="4">
        <f>SUM(I727:I732)</f>
        <v>113492</v>
      </c>
      <c r="J726" s="4">
        <f>SUM(J727:J732)</f>
        <v>83389</v>
      </c>
      <c r="K726" s="361">
        <f t="shared" si="116"/>
        <v>73.475663482888663</v>
      </c>
      <c r="L726" s="4"/>
      <c r="M726" s="4"/>
      <c r="N726" s="361"/>
      <c r="O726" s="92">
        <f t="shared" si="112"/>
        <v>113492</v>
      </c>
      <c r="P726" s="92">
        <f t="shared" si="113"/>
        <v>83389</v>
      </c>
      <c r="Q726" s="361">
        <f t="shared" ref="Q726:Q757" si="117">P726/O726*100</f>
        <v>73.475663482888663</v>
      </c>
    </row>
    <row r="727" spans="2:17" s="122" customFormat="1" x14ac:dyDescent="0.2">
      <c r="B727" s="18">
        <f t="shared" si="114"/>
        <v>232</v>
      </c>
      <c r="C727" s="6"/>
      <c r="D727" s="6"/>
      <c r="E727" s="6"/>
      <c r="F727" s="93"/>
      <c r="G727" s="5">
        <v>631</v>
      </c>
      <c r="H727" s="6" t="s">
        <v>127</v>
      </c>
      <c r="I727" s="7">
        <v>359</v>
      </c>
      <c r="J727" s="7">
        <v>0</v>
      </c>
      <c r="K727" s="361">
        <f t="shared" si="116"/>
        <v>0</v>
      </c>
      <c r="L727" s="7"/>
      <c r="M727" s="7"/>
      <c r="N727" s="361"/>
      <c r="O727" s="95">
        <f t="shared" si="112"/>
        <v>359</v>
      </c>
      <c r="P727" s="95">
        <f t="shared" si="113"/>
        <v>0</v>
      </c>
      <c r="Q727" s="361">
        <f t="shared" si="117"/>
        <v>0</v>
      </c>
    </row>
    <row r="728" spans="2:17" x14ac:dyDescent="0.2">
      <c r="B728" s="18">
        <f t="shared" si="114"/>
        <v>233</v>
      </c>
      <c r="C728" s="6"/>
      <c r="D728" s="6"/>
      <c r="E728" s="6"/>
      <c r="F728" s="93"/>
      <c r="G728" s="5">
        <v>632</v>
      </c>
      <c r="H728" s="6" t="s">
        <v>134</v>
      </c>
      <c r="I728" s="7">
        <f>61238-44920+5587</f>
        <v>21905</v>
      </c>
      <c r="J728" s="7">
        <v>15893</v>
      </c>
      <c r="K728" s="361">
        <f t="shared" si="116"/>
        <v>72.554211367267754</v>
      </c>
      <c r="L728" s="7"/>
      <c r="M728" s="7"/>
      <c r="N728" s="361"/>
      <c r="O728" s="95">
        <f t="shared" si="112"/>
        <v>21905</v>
      </c>
      <c r="P728" s="95">
        <f t="shared" si="113"/>
        <v>15893</v>
      </c>
      <c r="Q728" s="361">
        <f t="shared" si="117"/>
        <v>72.554211367267754</v>
      </c>
    </row>
    <row r="729" spans="2:17" s="122" customFormat="1" x14ac:dyDescent="0.2">
      <c r="B729" s="18">
        <f t="shared" si="114"/>
        <v>234</v>
      </c>
      <c r="C729" s="6"/>
      <c r="D729" s="6"/>
      <c r="E729" s="6"/>
      <c r="F729" s="93"/>
      <c r="G729" s="5">
        <v>633</v>
      </c>
      <c r="H729" s="6" t="s">
        <v>125</v>
      </c>
      <c r="I729" s="7">
        <f>24603-10379+27067</f>
        <v>41291</v>
      </c>
      <c r="J729" s="7">
        <v>37734</v>
      </c>
      <c r="K729" s="361">
        <f t="shared" si="116"/>
        <v>91.385531956116353</v>
      </c>
      <c r="L729" s="7"/>
      <c r="M729" s="7"/>
      <c r="N729" s="361"/>
      <c r="O729" s="95">
        <f t="shared" si="112"/>
        <v>41291</v>
      </c>
      <c r="P729" s="95">
        <f t="shared" si="113"/>
        <v>37734</v>
      </c>
      <c r="Q729" s="361">
        <f t="shared" si="117"/>
        <v>91.385531956116353</v>
      </c>
    </row>
    <row r="730" spans="2:17" x14ac:dyDescent="0.2">
      <c r="B730" s="18">
        <f t="shared" si="114"/>
        <v>235</v>
      </c>
      <c r="C730" s="6"/>
      <c r="D730" s="6"/>
      <c r="E730" s="6"/>
      <c r="F730" s="93"/>
      <c r="G730" s="5">
        <v>634</v>
      </c>
      <c r="H730" s="6" t="s">
        <v>132</v>
      </c>
      <c r="I730" s="7">
        <f>3609-2337</f>
        <v>1272</v>
      </c>
      <c r="J730" s="7">
        <v>900</v>
      </c>
      <c r="K730" s="361">
        <f t="shared" si="116"/>
        <v>70.754716981132077</v>
      </c>
      <c r="L730" s="7"/>
      <c r="M730" s="7"/>
      <c r="N730" s="361"/>
      <c r="O730" s="95">
        <f t="shared" si="112"/>
        <v>1272</v>
      </c>
      <c r="P730" s="95">
        <f t="shared" si="113"/>
        <v>900</v>
      </c>
      <c r="Q730" s="361">
        <f t="shared" si="117"/>
        <v>70.754716981132077</v>
      </c>
    </row>
    <row r="731" spans="2:17" x14ac:dyDescent="0.2">
      <c r="B731" s="18">
        <f t="shared" si="114"/>
        <v>236</v>
      </c>
      <c r="C731" s="6"/>
      <c r="D731" s="6"/>
      <c r="E731" s="6"/>
      <c r="F731" s="93"/>
      <c r="G731" s="5">
        <v>635</v>
      </c>
      <c r="H731" s="6" t="s">
        <v>133</v>
      </c>
      <c r="I731" s="7">
        <f>8543-300</f>
        <v>8243</v>
      </c>
      <c r="J731" s="7">
        <v>2852</v>
      </c>
      <c r="K731" s="361">
        <f t="shared" si="116"/>
        <v>34.599053742569453</v>
      </c>
      <c r="L731" s="7"/>
      <c r="M731" s="7"/>
      <c r="N731" s="361"/>
      <c r="O731" s="95">
        <f t="shared" si="112"/>
        <v>8243</v>
      </c>
      <c r="P731" s="95">
        <f t="shared" si="113"/>
        <v>2852</v>
      </c>
      <c r="Q731" s="361">
        <f t="shared" si="117"/>
        <v>34.599053742569453</v>
      </c>
    </row>
    <row r="732" spans="2:17" x14ac:dyDescent="0.2">
      <c r="B732" s="18">
        <f t="shared" si="114"/>
        <v>237</v>
      </c>
      <c r="C732" s="6"/>
      <c r="D732" s="6"/>
      <c r="E732" s="6"/>
      <c r="F732" s="93"/>
      <c r="G732" s="5">
        <v>637</v>
      </c>
      <c r="H732" s="6" t="s">
        <v>122</v>
      </c>
      <c r="I732" s="7">
        <f>33975+1500+4415+532</f>
        <v>40422</v>
      </c>
      <c r="J732" s="7">
        <v>26010</v>
      </c>
      <c r="K732" s="361">
        <f t="shared" si="116"/>
        <v>64.346148137153037</v>
      </c>
      <c r="L732" s="7"/>
      <c r="M732" s="7"/>
      <c r="N732" s="361"/>
      <c r="O732" s="95">
        <f t="shared" si="112"/>
        <v>40422</v>
      </c>
      <c r="P732" s="95">
        <f t="shared" si="113"/>
        <v>26010</v>
      </c>
      <c r="Q732" s="361">
        <f t="shared" si="117"/>
        <v>64.346148137153037</v>
      </c>
    </row>
    <row r="733" spans="2:17" x14ac:dyDescent="0.2">
      <c r="B733" s="18">
        <f t="shared" si="114"/>
        <v>238</v>
      </c>
      <c r="C733" s="3"/>
      <c r="D733" s="3"/>
      <c r="E733" s="3"/>
      <c r="F733" s="90" t="s">
        <v>108</v>
      </c>
      <c r="G733" s="2">
        <v>640</v>
      </c>
      <c r="H733" s="3" t="s">
        <v>129</v>
      </c>
      <c r="I733" s="4">
        <f>2417-97</f>
        <v>2320</v>
      </c>
      <c r="J733" s="4">
        <v>2320</v>
      </c>
      <c r="K733" s="361">
        <f t="shared" si="116"/>
        <v>100</v>
      </c>
      <c r="L733" s="4"/>
      <c r="M733" s="4"/>
      <c r="N733" s="361"/>
      <c r="O733" s="92">
        <f t="shared" si="112"/>
        <v>2320</v>
      </c>
      <c r="P733" s="92">
        <f t="shared" si="113"/>
        <v>2320</v>
      </c>
      <c r="Q733" s="361">
        <f t="shared" si="117"/>
        <v>100</v>
      </c>
    </row>
    <row r="734" spans="2:17" x14ac:dyDescent="0.2">
      <c r="B734" s="18">
        <f t="shared" si="114"/>
        <v>239</v>
      </c>
      <c r="C734" s="3"/>
      <c r="D734" s="3"/>
      <c r="E734" s="3"/>
      <c r="F734" s="90"/>
      <c r="G734" s="2">
        <v>600</v>
      </c>
      <c r="H734" s="3" t="s">
        <v>625</v>
      </c>
      <c r="I734" s="4">
        <v>62452</v>
      </c>
      <c r="J734" s="4">
        <v>62452</v>
      </c>
      <c r="K734" s="361">
        <f t="shared" si="116"/>
        <v>100</v>
      </c>
      <c r="L734" s="4"/>
      <c r="M734" s="4"/>
      <c r="N734" s="361"/>
      <c r="O734" s="92">
        <f t="shared" si="112"/>
        <v>62452</v>
      </c>
      <c r="P734" s="92">
        <f t="shared" si="113"/>
        <v>62452</v>
      </c>
      <c r="Q734" s="361">
        <f t="shared" si="117"/>
        <v>100</v>
      </c>
    </row>
    <row r="735" spans="2:17" x14ac:dyDescent="0.2">
      <c r="B735" s="18">
        <f t="shared" si="114"/>
        <v>240</v>
      </c>
      <c r="C735" s="6"/>
      <c r="D735" s="6"/>
      <c r="E735" s="6"/>
      <c r="F735" s="90" t="s">
        <v>108</v>
      </c>
      <c r="G735" s="2">
        <v>710</v>
      </c>
      <c r="H735" s="3" t="s">
        <v>175</v>
      </c>
      <c r="I735" s="4"/>
      <c r="J735" s="4"/>
      <c r="K735" s="361"/>
      <c r="L735" s="4">
        <f>L736+L738</f>
        <v>83562</v>
      </c>
      <c r="M735" s="4">
        <f>M736+M738</f>
        <v>62962</v>
      </c>
      <c r="N735" s="361">
        <f t="shared" ref="N735:N741" si="118">M735/L735*100</f>
        <v>75.347646059213517</v>
      </c>
      <c r="O735" s="92">
        <f t="shared" si="112"/>
        <v>83562</v>
      </c>
      <c r="P735" s="92">
        <f t="shared" si="113"/>
        <v>62962</v>
      </c>
      <c r="Q735" s="361">
        <f t="shared" si="117"/>
        <v>75.347646059213517</v>
      </c>
    </row>
    <row r="736" spans="2:17" x14ac:dyDescent="0.2">
      <c r="B736" s="18">
        <f t="shared" si="114"/>
        <v>241</v>
      </c>
      <c r="C736" s="6"/>
      <c r="D736" s="6"/>
      <c r="E736" s="6"/>
      <c r="F736" s="93"/>
      <c r="G736" s="5">
        <v>716</v>
      </c>
      <c r="H736" s="6" t="s">
        <v>215</v>
      </c>
      <c r="I736" s="7"/>
      <c r="J736" s="7"/>
      <c r="K736" s="361"/>
      <c r="L736" s="7">
        <f>L737</f>
        <v>3000</v>
      </c>
      <c r="M736" s="7">
        <f>M737</f>
        <v>400</v>
      </c>
      <c r="N736" s="361">
        <f t="shared" si="118"/>
        <v>13.333333333333334</v>
      </c>
      <c r="O736" s="95">
        <f t="shared" si="112"/>
        <v>3000</v>
      </c>
      <c r="P736" s="95">
        <f t="shared" si="113"/>
        <v>400</v>
      </c>
      <c r="Q736" s="361">
        <f t="shared" si="117"/>
        <v>13.333333333333334</v>
      </c>
    </row>
    <row r="737" spans="2:17" x14ac:dyDescent="0.2">
      <c r="B737" s="18">
        <f t="shared" si="114"/>
        <v>242</v>
      </c>
      <c r="C737" s="9"/>
      <c r="D737" s="9"/>
      <c r="E737" s="9"/>
      <c r="F737" s="194"/>
      <c r="G737" s="106"/>
      <c r="H737" s="9" t="s">
        <v>537</v>
      </c>
      <c r="I737" s="10"/>
      <c r="J737" s="10"/>
      <c r="K737" s="361"/>
      <c r="L737" s="10">
        <v>3000</v>
      </c>
      <c r="M737" s="10">
        <v>400</v>
      </c>
      <c r="N737" s="361">
        <f t="shared" si="118"/>
        <v>13.333333333333334</v>
      </c>
      <c r="O737" s="108">
        <f t="shared" si="112"/>
        <v>3000</v>
      </c>
      <c r="P737" s="108">
        <f t="shared" si="113"/>
        <v>400</v>
      </c>
      <c r="Q737" s="361">
        <f t="shared" si="117"/>
        <v>13.333333333333334</v>
      </c>
    </row>
    <row r="738" spans="2:17" x14ac:dyDescent="0.2">
      <c r="B738" s="18">
        <f t="shared" si="114"/>
        <v>243</v>
      </c>
      <c r="C738" s="6"/>
      <c r="D738" s="6"/>
      <c r="E738" s="6"/>
      <c r="F738" s="93"/>
      <c r="G738" s="5">
        <v>717</v>
      </c>
      <c r="H738" s="6" t="s">
        <v>182</v>
      </c>
      <c r="I738" s="7"/>
      <c r="J738" s="7"/>
      <c r="K738" s="361"/>
      <c r="L738" s="7">
        <f>L740+L739</f>
        <v>80562</v>
      </c>
      <c r="M738" s="7">
        <f>M740+M739</f>
        <v>62562</v>
      </c>
      <c r="N738" s="361">
        <f t="shared" si="118"/>
        <v>77.656959857004551</v>
      </c>
      <c r="O738" s="95">
        <f t="shared" si="112"/>
        <v>80562</v>
      </c>
      <c r="P738" s="95">
        <f t="shared" si="113"/>
        <v>62562</v>
      </c>
      <c r="Q738" s="361">
        <f t="shared" si="117"/>
        <v>77.656959857004551</v>
      </c>
    </row>
    <row r="739" spans="2:17" x14ac:dyDescent="0.2">
      <c r="B739" s="338">
        <f t="shared" si="114"/>
        <v>244</v>
      </c>
      <c r="C739" s="9"/>
      <c r="D739" s="9"/>
      <c r="E739" s="9"/>
      <c r="F739" s="194"/>
      <c r="G739" s="106"/>
      <c r="H739" s="9" t="s">
        <v>630</v>
      </c>
      <c r="I739" s="10"/>
      <c r="J739" s="10"/>
      <c r="K739" s="361"/>
      <c r="L739" s="10">
        <f>100000-28100-5083-4255</f>
        <v>62562</v>
      </c>
      <c r="M739" s="10">
        <v>62562</v>
      </c>
      <c r="N739" s="361">
        <f t="shared" si="118"/>
        <v>100</v>
      </c>
      <c r="O739" s="108">
        <f t="shared" si="112"/>
        <v>62562</v>
      </c>
      <c r="P739" s="108">
        <f t="shared" si="113"/>
        <v>62562</v>
      </c>
      <c r="Q739" s="361">
        <f t="shared" si="117"/>
        <v>100</v>
      </c>
    </row>
    <row r="740" spans="2:17" x14ac:dyDescent="0.2">
      <c r="B740" s="18">
        <f t="shared" si="114"/>
        <v>245</v>
      </c>
      <c r="C740" s="9"/>
      <c r="D740" s="9"/>
      <c r="E740" s="9"/>
      <c r="F740" s="194"/>
      <c r="G740" s="106"/>
      <c r="H740" s="9" t="s">
        <v>537</v>
      </c>
      <c r="I740" s="10"/>
      <c r="J740" s="10"/>
      <c r="K740" s="361"/>
      <c r="L740" s="10">
        <v>18000</v>
      </c>
      <c r="M740" s="10">
        <v>0</v>
      </c>
      <c r="N740" s="361">
        <f t="shared" si="118"/>
        <v>0</v>
      </c>
      <c r="O740" s="108">
        <f t="shared" si="112"/>
        <v>18000</v>
      </c>
      <c r="P740" s="108">
        <f t="shared" si="113"/>
        <v>0</v>
      </c>
      <c r="Q740" s="361">
        <f t="shared" si="117"/>
        <v>0</v>
      </c>
    </row>
    <row r="741" spans="2:17" s="122" customFormat="1" ht="15" x14ac:dyDescent="0.25">
      <c r="B741" s="18">
        <f t="shared" si="114"/>
        <v>246</v>
      </c>
      <c r="C741" s="176"/>
      <c r="D741" s="176"/>
      <c r="E741" s="176">
        <v>7</v>
      </c>
      <c r="F741" s="177"/>
      <c r="G741" s="177"/>
      <c r="H741" s="176" t="s">
        <v>286</v>
      </c>
      <c r="I741" s="178">
        <f>I742+I743+I744+I749+I750+I751+I752+I760+I761</f>
        <v>2103003</v>
      </c>
      <c r="J741" s="178">
        <f>J742+J743+J744+J749+J750+J751+J752+J760+J761</f>
        <v>2058024</v>
      </c>
      <c r="K741" s="361">
        <f t="shared" ref="K741:K761" si="119">J741/I741*100</f>
        <v>97.861201339227762</v>
      </c>
      <c r="L741" s="178">
        <f>L762</f>
        <v>1431200</v>
      </c>
      <c r="M741" s="178">
        <f>M762</f>
        <v>7560</v>
      </c>
      <c r="N741" s="361">
        <f t="shared" si="118"/>
        <v>0.52822806036892123</v>
      </c>
      <c r="O741" s="179">
        <f t="shared" si="112"/>
        <v>3534203</v>
      </c>
      <c r="P741" s="179">
        <f t="shared" si="113"/>
        <v>2065584</v>
      </c>
      <c r="Q741" s="361">
        <f t="shared" si="117"/>
        <v>58.445539206434951</v>
      </c>
    </row>
    <row r="742" spans="2:17" x14ac:dyDescent="0.2">
      <c r="B742" s="18">
        <f t="shared" si="114"/>
        <v>247</v>
      </c>
      <c r="C742" s="3"/>
      <c r="D742" s="3"/>
      <c r="E742" s="3"/>
      <c r="F742" s="90" t="s">
        <v>119</v>
      </c>
      <c r="G742" s="2">
        <v>610</v>
      </c>
      <c r="H742" s="3" t="s">
        <v>131</v>
      </c>
      <c r="I742" s="4">
        <f>410870+27000+22985</f>
        <v>460855</v>
      </c>
      <c r="J742" s="4">
        <v>458191</v>
      </c>
      <c r="K742" s="361">
        <f t="shared" si="119"/>
        <v>99.421943995399857</v>
      </c>
      <c r="L742" s="4"/>
      <c r="M742" s="4"/>
      <c r="N742" s="361"/>
      <c r="O742" s="92">
        <f t="shared" si="112"/>
        <v>460855</v>
      </c>
      <c r="P742" s="92">
        <f t="shared" si="113"/>
        <v>458191</v>
      </c>
      <c r="Q742" s="361">
        <f t="shared" si="117"/>
        <v>99.421943995399857</v>
      </c>
    </row>
    <row r="743" spans="2:17" x14ac:dyDescent="0.2">
      <c r="B743" s="18">
        <f t="shared" si="114"/>
        <v>248</v>
      </c>
      <c r="C743" s="3"/>
      <c r="D743" s="3"/>
      <c r="E743" s="3"/>
      <c r="F743" s="90" t="s">
        <v>119</v>
      </c>
      <c r="G743" s="2">
        <v>620</v>
      </c>
      <c r="H743" s="3" t="s">
        <v>124</v>
      </c>
      <c r="I743" s="4">
        <f>151619+9840+9260</f>
        <v>170719</v>
      </c>
      <c r="J743" s="4">
        <v>169135</v>
      </c>
      <c r="K743" s="361">
        <f t="shared" si="119"/>
        <v>99.072159513586655</v>
      </c>
      <c r="L743" s="4"/>
      <c r="M743" s="4"/>
      <c r="N743" s="361"/>
      <c r="O743" s="92">
        <f t="shared" si="112"/>
        <v>170719</v>
      </c>
      <c r="P743" s="92">
        <f t="shared" si="113"/>
        <v>169135</v>
      </c>
      <c r="Q743" s="361">
        <f t="shared" si="117"/>
        <v>99.072159513586655</v>
      </c>
    </row>
    <row r="744" spans="2:17" x14ac:dyDescent="0.2">
      <c r="B744" s="18">
        <f t="shared" si="114"/>
        <v>249</v>
      </c>
      <c r="C744" s="3"/>
      <c r="D744" s="3"/>
      <c r="E744" s="3"/>
      <c r="F744" s="90" t="s">
        <v>119</v>
      </c>
      <c r="G744" s="2">
        <v>630</v>
      </c>
      <c r="H744" s="3" t="s">
        <v>121</v>
      </c>
      <c r="I744" s="4">
        <f>I748+I747+I746+I745</f>
        <v>92060</v>
      </c>
      <c r="J744" s="4">
        <f>J748+J747+J746+J745</f>
        <v>81191</v>
      </c>
      <c r="K744" s="361">
        <f t="shared" si="119"/>
        <v>88.19356941125352</v>
      </c>
      <c r="L744" s="4"/>
      <c r="M744" s="4"/>
      <c r="N744" s="361"/>
      <c r="O744" s="92">
        <f t="shared" si="112"/>
        <v>92060</v>
      </c>
      <c r="P744" s="92">
        <f t="shared" si="113"/>
        <v>81191</v>
      </c>
      <c r="Q744" s="361">
        <f t="shared" si="117"/>
        <v>88.19356941125352</v>
      </c>
    </row>
    <row r="745" spans="2:17" x14ac:dyDescent="0.2">
      <c r="B745" s="18">
        <f t="shared" si="114"/>
        <v>250</v>
      </c>
      <c r="C745" s="6"/>
      <c r="D745" s="6"/>
      <c r="E745" s="6"/>
      <c r="F745" s="93"/>
      <c r="G745" s="5">
        <v>632</v>
      </c>
      <c r="H745" s="6" t="s">
        <v>134</v>
      </c>
      <c r="I745" s="7">
        <f>500+42000+1500+800+500-13000-5350</f>
        <v>26950</v>
      </c>
      <c r="J745" s="7">
        <v>22718</v>
      </c>
      <c r="K745" s="361">
        <f t="shared" si="119"/>
        <v>84.29684601113172</v>
      </c>
      <c r="L745" s="7"/>
      <c r="M745" s="7"/>
      <c r="N745" s="361"/>
      <c r="O745" s="95">
        <f t="shared" si="112"/>
        <v>26950</v>
      </c>
      <c r="P745" s="95">
        <f t="shared" si="113"/>
        <v>22718</v>
      </c>
      <c r="Q745" s="361">
        <f t="shared" si="117"/>
        <v>84.29684601113172</v>
      </c>
    </row>
    <row r="746" spans="2:17" x14ac:dyDescent="0.2">
      <c r="B746" s="18">
        <f t="shared" si="114"/>
        <v>251</v>
      </c>
      <c r="C746" s="6"/>
      <c r="D746" s="6"/>
      <c r="E746" s="6"/>
      <c r="F746" s="93"/>
      <c r="G746" s="5">
        <v>633</v>
      </c>
      <c r="H746" s="6" t="s">
        <v>125</v>
      </c>
      <c r="I746" s="7">
        <f>800+600+50+5000+5000+14850</f>
        <v>26300</v>
      </c>
      <c r="J746" s="7">
        <v>23172</v>
      </c>
      <c r="K746" s="361">
        <f t="shared" si="119"/>
        <v>88.106463878327006</v>
      </c>
      <c r="L746" s="7"/>
      <c r="M746" s="7"/>
      <c r="N746" s="361"/>
      <c r="O746" s="95">
        <f t="shared" si="112"/>
        <v>26300</v>
      </c>
      <c r="P746" s="95">
        <f t="shared" si="113"/>
        <v>23172</v>
      </c>
      <c r="Q746" s="361">
        <f t="shared" si="117"/>
        <v>88.106463878327006</v>
      </c>
    </row>
    <row r="747" spans="2:17" x14ac:dyDescent="0.2">
      <c r="B747" s="18">
        <f t="shared" si="114"/>
        <v>252</v>
      </c>
      <c r="C747" s="6"/>
      <c r="D747" s="6"/>
      <c r="E747" s="6"/>
      <c r="F747" s="93"/>
      <c r="G747" s="5">
        <v>635</v>
      </c>
      <c r="H747" s="6" t="s">
        <v>133</v>
      </c>
      <c r="I747" s="7">
        <f>750+500+6500+350</f>
        <v>8100</v>
      </c>
      <c r="J747" s="7">
        <v>7750</v>
      </c>
      <c r="K747" s="361">
        <f t="shared" si="119"/>
        <v>95.679012345679013</v>
      </c>
      <c r="L747" s="7"/>
      <c r="M747" s="7"/>
      <c r="N747" s="361"/>
      <c r="O747" s="95">
        <f t="shared" si="112"/>
        <v>8100</v>
      </c>
      <c r="P747" s="95">
        <f t="shared" si="113"/>
        <v>7750</v>
      </c>
      <c r="Q747" s="361">
        <f t="shared" si="117"/>
        <v>95.679012345679013</v>
      </c>
    </row>
    <row r="748" spans="2:17" x14ac:dyDescent="0.2">
      <c r="B748" s="18">
        <f t="shared" si="114"/>
        <v>253</v>
      </c>
      <c r="C748" s="6"/>
      <c r="D748" s="6"/>
      <c r="E748" s="6"/>
      <c r="F748" s="93"/>
      <c r="G748" s="5">
        <v>637</v>
      </c>
      <c r="H748" s="6" t="s">
        <v>122</v>
      </c>
      <c r="I748" s="7">
        <f>6500+120+300+500+4300+390+180+3720+1500+360+8000+4840</f>
        <v>30710</v>
      </c>
      <c r="J748" s="7">
        <v>27551</v>
      </c>
      <c r="K748" s="361">
        <f t="shared" si="119"/>
        <v>89.713448388147185</v>
      </c>
      <c r="L748" s="7"/>
      <c r="M748" s="7"/>
      <c r="N748" s="361"/>
      <c r="O748" s="95">
        <f t="shared" si="112"/>
        <v>30710</v>
      </c>
      <c r="P748" s="95">
        <f t="shared" si="113"/>
        <v>27551</v>
      </c>
      <c r="Q748" s="361">
        <f t="shared" si="117"/>
        <v>89.713448388147185</v>
      </c>
    </row>
    <row r="749" spans="2:17" x14ac:dyDescent="0.2">
      <c r="B749" s="18">
        <f t="shared" si="114"/>
        <v>254</v>
      </c>
      <c r="C749" s="3"/>
      <c r="D749" s="3"/>
      <c r="E749" s="3"/>
      <c r="F749" s="90" t="s">
        <v>119</v>
      </c>
      <c r="G749" s="2">
        <v>640</v>
      </c>
      <c r="H749" s="3" t="s">
        <v>129</v>
      </c>
      <c r="I749" s="4">
        <f>1750+750</f>
        <v>2500</v>
      </c>
      <c r="J749" s="4">
        <v>2500</v>
      </c>
      <c r="K749" s="361">
        <f t="shared" si="119"/>
        <v>100</v>
      </c>
      <c r="L749" s="4"/>
      <c r="M749" s="4"/>
      <c r="N749" s="361"/>
      <c r="O749" s="92">
        <f t="shared" si="112"/>
        <v>2500</v>
      </c>
      <c r="P749" s="92">
        <f t="shared" si="113"/>
        <v>2500</v>
      </c>
      <c r="Q749" s="361">
        <f t="shared" si="117"/>
        <v>100</v>
      </c>
    </row>
    <row r="750" spans="2:17" x14ac:dyDescent="0.2">
      <c r="B750" s="18">
        <f t="shared" si="114"/>
        <v>255</v>
      </c>
      <c r="C750" s="3"/>
      <c r="D750" s="3"/>
      <c r="E750" s="3"/>
      <c r="F750" s="90" t="s">
        <v>108</v>
      </c>
      <c r="G750" s="2">
        <v>610</v>
      </c>
      <c r="H750" s="3" t="s">
        <v>131</v>
      </c>
      <c r="I750" s="4">
        <f>32000+500+45077+34900+21423+43000+2000+565000+100+53456-3500+66554</f>
        <v>860510</v>
      </c>
      <c r="J750" s="4">
        <v>860510</v>
      </c>
      <c r="K750" s="361">
        <f t="shared" si="119"/>
        <v>100</v>
      </c>
      <c r="L750" s="4"/>
      <c r="M750" s="4"/>
      <c r="N750" s="361"/>
      <c r="O750" s="92">
        <f t="shared" si="112"/>
        <v>860510</v>
      </c>
      <c r="P750" s="92">
        <f t="shared" si="113"/>
        <v>860510</v>
      </c>
      <c r="Q750" s="361">
        <f t="shared" si="117"/>
        <v>100</v>
      </c>
    </row>
    <row r="751" spans="2:17" x14ac:dyDescent="0.2">
      <c r="B751" s="18">
        <f t="shared" si="114"/>
        <v>256</v>
      </c>
      <c r="C751" s="3"/>
      <c r="D751" s="3"/>
      <c r="E751" s="3"/>
      <c r="F751" s="90" t="s">
        <v>108</v>
      </c>
      <c r="G751" s="2">
        <v>620</v>
      </c>
      <c r="H751" s="3" t="s">
        <v>124</v>
      </c>
      <c r="I751" s="4">
        <f>32252+3270+20370+2100+54000+5200+13580+1380+6790+690+9506+1000+95060+9660+13900+1700+5432+550+35+19717+25794</f>
        <v>321986</v>
      </c>
      <c r="J751" s="4">
        <v>321986</v>
      </c>
      <c r="K751" s="361">
        <f t="shared" si="119"/>
        <v>100</v>
      </c>
      <c r="L751" s="4"/>
      <c r="M751" s="4"/>
      <c r="N751" s="361"/>
      <c r="O751" s="92">
        <f t="shared" si="112"/>
        <v>321986</v>
      </c>
      <c r="P751" s="92">
        <f t="shared" si="113"/>
        <v>321986</v>
      </c>
      <c r="Q751" s="361">
        <f t="shared" si="117"/>
        <v>100</v>
      </c>
    </row>
    <row r="752" spans="2:17" x14ac:dyDescent="0.2">
      <c r="B752" s="18">
        <f t="shared" si="114"/>
        <v>257</v>
      </c>
      <c r="C752" s="3"/>
      <c r="D752" s="3"/>
      <c r="E752" s="3"/>
      <c r="F752" s="90" t="s">
        <v>108</v>
      </c>
      <c r="G752" s="2">
        <v>630</v>
      </c>
      <c r="H752" s="3" t="s">
        <v>121</v>
      </c>
      <c r="I752" s="4">
        <f>I759+I757+I756+I755+I754+I753+I758</f>
        <v>139805</v>
      </c>
      <c r="J752" s="4">
        <f>J759+J757+J756+J755+J754+J753+J758</f>
        <v>109943</v>
      </c>
      <c r="K752" s="361">
        <f t="shared" si="119"/>
        <v>78.640248918135981</v>
      </c>
      <c r="L752" s="4"/>
      <c r="M752" s="4"/>
      <c r="N752" s="361"/>
      <c r="O752" s="92">
        <f t="shared" ref="O752:O809" si="120">I752+L752</f>
        <v>139805</v>
      </c>
      <c r="P752" s="92">
        <f t="shared" ref="P752:P809" si="121">J752+M752</f>
        <v>109943</v>
      </c>
      <c r="Q752" s="361">
        <f t="shared" si="117"/>
        <v>78.640248918135981</v>
      </c>
    </row>
    <row r="753" spans="2:17" x14ac:dyDescent="0.2">
      <c r="B753" s="18">
        <f t="shared" ref="B753:B816" si="122">B752+1</f>
        <v>258</v>
      </c>
      <c r="C753" s="6"/>
      <c r="D753" s="6"/>
      <c r="E753" s="6"/>
      <c r="F753" s="93"/>
      <c r="G753" s="5">
        <v>631</v>
      </c>
      <c r="H753" s="6" t="s">
        <v>127</v>
      </c>
      <c r="I753" s="7">
        <f>900+100</f>
        <v>1000</v>
      </c>
      <c r="J753" s="7">
        <v>1000</v>
      </c>
      <c r="K753" s="361">
        <f t="shared" si="119"/>
        <v>100</v>
      </c>
      <c r="L753" s="7"/>
      <c r="M753" s="7"/>
      <c r="N753" s="361"/>
      <c r="O753" s="95">
        <f t="shared" si="120"/>
        <v>1000</v>
      </c>
      <c r="P753" s="95">
        <f t="shared" si="121"/>
        <v>1000</v>
      </c>
      <c r="Q753" s="361">
        <f t="shared" si="117"/>
        <v>100</v>
      </c>
    </row>
    <row r="754" spans="2:17" x14ac:dyDescent="0.2">
      <c r="B754" s="18">
        <f t="shared" si="122"/>
        <v>259</v>
      </c>
      <c r="C754" s="6"/>
      <c r="D754" s="6"/>
      <c r="E754" s="6"/>
      <c r="F754" s="93"/>
      <c r="G754" s="5">
        <v>632</v>
      </c>
      <c r="H754" s="6" t="s">
        <v>134</v>
      </c>
      <c r="I754" s="7">
        <f>600+40500+2200+250+300-16000-2550+7463</f>
        <v>32763</v>
      </c>
      <c r="J754" s="7">
        <v>14234</v>
      </c>
      <c r="K754" s="361">
        <f t="shared" si="119"/>
        <v>43.44534993742942</v>
      </c>
      <c r="L754" s="7"/>
      <c r="M754" s="7"/>
      <c r="N754" s="361"/>
      <c r="O754" s="95">
        <f t="shared" si="120"/>
        <v>32763</v>
      </c>
      <c r="P754" s="95">
        <f t="shared" si="121"/>
        <v>14234</v>
      </c>
      <c r="Q754" s="361">
        <f t="shared" si="117"/>
        <v>43.44534993742942</v>
      </c>
    </row>
    <row r="755" spans="2:17" x14ac:dyDescent="0.2">
      <c r="B755" s="18">
        <f t="shared" si="122"/>
        <v>260</v>
      </c>
      <c r="C755" s="6"/>
      <c r="D755" s="6"/>
      <c r="E755" s="6"/>
      <c r="F755" s="93"/>
      <c r="G755" s="5">
        <v>633</v>
      </c>
      <c r="H755" s="6" t="s">
        <v>125</v>
      </c>
      <c r="I755" s="7">
        <f>50+450+1550+7500+3750+1650+1200-2000+3000+12000</f>
        <v>29150</v>
      </c>
      <c r="J755" s="7">
        <v>27853</v>
      </c>
      <c r="K755" s="361">
        <f t="shared" si="119"/>
        <v>95.550600343053176</v>
      </c>
      <c r="L755" s="7"/>
      <c r="M755" s="7"/>
      <c r="N755" s="361"/>
      <c r="O755" s="95">
        <f t="shared" si="120"/>
        <v>29150</v>
      </c>
      <c r="P755" s="95">
        <f t="shared" si="121"/>
        <v>27853</v>
      </c>
      <c r="Q755" s="361">
        <f t="shared" si="117"/>
        <v>95.550600343053176</v>
      </c>
    </row>
    <row r="756" spans="2:17" x14ac:dyDescent="0.2">
      <c r="B756" s="18">
        <f t="shared" si="122"/>
        <v>261</v>
      </c>
      <c r="C756" s="6"/>
      <c r="D756" s="6"/>
      <c r="E756" s="6"/>
      <c r="F756" s="93"/>
      <c r="G756" s="5">
        <v>634</v>
      </c>
      <c r="H756" s="6" t="s">
        <v>132</v>
      </c>
      <c r="I756" s="7">
        <v>1100</v>
      </c>
      <c r="J756" s="7">
        <v>1100</v>
      </c>
      <c r="K756" s="361">
        <f t="shared" si="119"/>
        <v>100</v>
      </c>
      <c r="L756" s="7"/>
      <c r="M756" s="7"/>
      <c r="N756" s="361"/>
      <c r="O756" s="95">
        <f t="shared" si="120"/>
        <v>1100</v>
      </c>
      <c r="P756" s="95">
        <f t="shared" si="121"/>
        <v>1100</v>
      </c>
      <c r="Q756" s="361">
        <f t="shared" si="117"/>
        <v>100</v>
      </c>
    </row>
    <row r="757" spans="2:17" x14ac:dyDescent="0.2">
      <c r="B757" s="18">
        <f t="shared" si="122"/>
        <v>262</v>
      </c>
      <c r="C757" s="6"/>
      <c r="D757" s="6"/>
      <c r="E757" s="6"/>
      <c r="F757" s="93"/>
      <c r="G757" s="5">
        <v>635</v>
      </c>
      <c r="H757" s="6" t="s">
        <v>133</v>
      </c>
      <c r="I757" s="7">
        <f>1200+780+9800+5000</f>
        <v>16780</v>
      </c>
      <c r="J757" s="7">
        <v>16780</v>
      </c>
      <c r="K757" s="361">
        <f t="shared" si="119"/>
        <v>100</v>
      </c>
      <c r="L757" s="7"/>
      <c r="M757" s="7"/>
      <c r="N757" s="361"/>
      <c r="O757" s="95">
        <f t="shared" si="120"/>
        <v>16780</v>
      </c>
      <c r="P757" s="95">
        <f t="shared" si="121"/>
        <v>16780</v>
      </c>
      <c r="Q757" s="361">
        <f t="shared" si="117"/>
        <v>100</v>
      </c>
    </row>
    <row r="758" spans="2:17" x14ac:dyDescent="0.2">
      <c r="B758" s="18">
        <f t="shared" si="122"/>
        <v>263</v>
      </c>
      <c r="C758" s="6"/>
      <c r="D758" s="6"/>
      <c r="E758" s="6"/>
      <c r="F758" s="93"/>
      <c r="G758" s="5">
        <v>636</v>
      </c>
      <c r="H758" s="6" t="s">
        <v>126</v>
      </c>
      <c r="I758" s="7">
        <v>300</v>
      </c>
      <c r="J758" s="7">
        <v>300</v>
      </c>
      <c r="K758" s="361">
        <f t="shared" si="119"/>
        <v>100</v>
      </c>
      <c r="L758" s="7"/>
      <c r="M758" s="7"/>
      <c r="N758" s="361"/>
      <c r="O758" s="95">
        <f t="shared" si="120"/>
        <v>300</v>
      </c>
      <c r="P758" s="95">
        <f t="shared" si="121"/>
        <v>300</v>
      </c>
      <c r="Q758" s="361">
        <f t="shared" ref="Q758:Q789" si="123">P758/O758*100</f>
        <v>100</v>
      </c>
    </row>
    <row r="759" spans="2:17" x14ac:dyDescent="0.2">
      <c r="B759" s="18">
        <f t="shared" si="122"/>
        <v>264</v>
      </c>
      <c r="C759" s="6"/>
      <c r="D759" s="6"/>
      <c r="E759" s="6"/>
      <c r="F759" s="93"/>
      <c r="G759" s="5">
        <v>637</v>
      </c>
      <c r="H759" s="6" t="s">
        <v>122</v>
      </c>
      <c r="I759" s="7">
        <f>18000+1000+120+700+700+650+8000+150+7000+380+1200+2000+500+1300+2000+13400+650+962</f>
        <v>58712</v>
      </c>
      <c r="J759" s="7">
        <v>48676</v>
      </c>
      <c r="K759" s="361">
        <f t="shared" si="119"/>
        <v>82.906390516419123</v>
      </c>
      <c r="L759" s="7"/>
      <c r="M759" s="7"/>
      <c r="N759" s="361"/>
      <c r="O759" s="95">
        <f t="shared" si="120"/>
        <v>58712</v>
      </c>
      <c r="P759" s="95">
        <f t="shared" si="121"/>
        <v>48676</v>
      </c>
      <c r="Q759" s="361">
        <f t="shared" si="123"/>
        <v>82.906390516419123</v>
      </c>
    </row>
    <row r="760" spans="2:17" x14ac:dyDescent="0.2">
      <c r="B760" s="18">
        <f t="shared" si="122"/>
        <v>265</v>
      </c>
      <c r="C760" s="3"/>
      <c r="D760" s="3"/>
      <c r="E760" s="3"/>
      <c r="F760" s="90" t="s">
        <v>108</v>
      </c>
      <c r="G760" s="2">
        <v>640</v>
      </c>
      <c r="H760" s="3" t="s">
        <v>129</v>
      </c>
      <c r="I760" s="4">
        <f>2000+3500+3107-72</f>
        <v>8535</v>
      </c>
      <c r="J760" s="4">
        <v>8535</v>
      </c>
      <c r="K760" s="361">
        <f t="shared" si="119"/>
        <v>100</v>
      </c>
      <c r="L760" s="4"/>
      <c r="M760" s="4"/>
      <c r="N760" s="361"/>
      <c r="O760" s="92">
        <f t="shared" si="120"/>
        <v>8535</v>
      </c>
      <c r="P760" s="92">
        <f t="shared" si="121"/>
        <v>8535</v>
      </c>
      <c r="Q760" s="361">
        <f t="shared" si="123"/>
        <v>100</v>
      </c>
    </row>
    <row r="761" spans="2:17" x14ac:dyDescent="0.2">
      <c r="B761" s="18">
        <f t="shared" si="122"/>
        <v>266</v>
      </c>
      <c r="C761" s="3"/>
      <c r="D761" s="3"/>
      <c r="E761" s="3"/>
      <c r="F761" s="90"/>
      <c r="G761" s="2">
        <v>600</v>
      </c>
      <c r="H761" s="3" t="s">
        <v>625</v>
      </c>
      <c r="I761" s="4">
        <v>46033</v>
      </c>
      <c r="J761" s="4">
        <v>46033</v>
      </c>
      <c r="K761" s="361">
        <f t="shared" si="119"/>
        <v>100</v>
      </c>
      <c r="L761" s="4"/>
      <c r="M761" s="4"/>
      <c r="N761" s="361"/>
      <c r="O761" s="92">
        <f t="shared" si="120"/>
        <v>46033</v>
      </c>
      <c r="P761" s="92">
        <f t="shared" si="121"/>
        <v>46033</v>
      </c>
      <c r="Q761" s="361">
        <f t="shared" si="123"/>
        <v>100</v>
      </c>
    </row>
    <row r="762" spans="2:17" x14ac:dyDescent="0.2">
      <c r="B762" s="18">
        <f t="shared" si="122"/>
        <v>267</v>
      </c>
      <c r="C762" s="3"/>
      <c r="D762" s="3"/>
      <c r="E762" s="3"/>
      <c r="F762" s="90" t="s">
        <v>108</v>
      </c>
      <c r="G762" s="2">
        <v>710</v>
      </c>
      <c r="H762" s="3" t="s">
        <v>175</v>
      </c>
      <c r="I762" s="4"/>
      <c r="J762" s="4"/>
      <c r="K762" s="361"/>
      <c r="L762" s="4">
        <f>L763</f>
        <v>1431200</v>
      </c>
      <c r="M762" s="4">
        <f>M763</f>
        <v>7560</v>
      </c>
      <c r="N762" s="361">
        <f>M762/L762*100</f>
        <v>0.52822806036892123</v>
      </c>
      <c r="O762" s="92">
        <f t="shared" si="120"/>
        <v>1431200</v>
      </c>
      <c r="P762" s="92">
        <f t="shared" si="121"/>
        <v>7560</v>
      </c>
      <c r="Q762" s="361">
        <f t="shared" si="123"/>
        <v>0.52822806036892123</v>
      </c>
    </row>
    <row r="763" spans="2:17" x14ac:dyDescent="0.2">
      <c r="B763" s="18">
        <f t="shared" si="122"/>
        <v>268</v>
      </c>
      <c r="C763" s="6"/>
      <c r="D763" s="6"/>
      <c r="E763" s="6"/>
      <c r="F763" s="93"/>
      <c r="G763" s="5">
        <v>717</v>
      </c>
      <c r="H763" s="6" t="s">
        <v>182</v>
      </c>
      <c r="I763" s="7"/>
      <c r="J763" s="7"/>
      <c r="K763" s="361"/>
      <c r="L763" s="7">
        <f>SUM(L764:L764)</f>
        <v>1431200</v>
      </c>
      <c r="M763" s="7">
        <f>SUM(M764:M764)</f>
        <v>7560</v>
      </c>
      <c r="N763" s="361">
        <f>M763/L763*100</f>
        <v>0.52822806036892123</v>
      </c>
      <c r="O763" s="95">
        <f t="shared" si="120"/>
        <v>1431200</v>
      </c>
      <c r="P763" s="95">
        <f t="shared" si="121"/>
        <v>7560</v>
      </c>
      <c r="Q763" s="361">
        <f t="shared" si="123"/>
        <v>0.52822806036892123</v>
      </c>
    </row>
    <row r="764" spans="2:17" x14ac:dyDescent="0.2">
      <c r="B764" s="18">
        <f t="shared" si="122"/>
        <v>269</v>
      </c>
      <c r="C764" s="9"/>
      <c r="D764" s="9"/>
      <c r="E764" s="9"/>
      <c r="F764" s="194"/>
      <c r="G764" s="106"/>
      <c r="H764" s="9" t="s">
        <v>480</v>
      </c>
      <c r="I764" s="10"/>
      <c r="J764" s="10"/>
      <c r="K764" s="361"/>
      <c r="L764" s="10">
        <v>1431200</v>
      </c>
      <c r="M764" s="10">
        <v>7560</v>
      </c>
      <c r="N764" s="361">
        <f>M764/L764*100</f>
        <v>0.52822806036892123</v>
      </c>
      <c r="O764" s="108">
        <f t="shared" si="120"/>
        <v>1431200</v>
      </c>
      <c r="P764" s="108">
        <f t="shared" si="121"/>
        <v>7560</v>
      </c>
      <c r="Q764" s="361">
        <f t="shared" si="123"/>
        <v>0.52822806036892123</v>
      </c>
    </row>
    <row r="765" spans="2:17" ht="15" x14ac:dyDescent="0.25">
      <c r="B765" s="18">
        <f t="shared" si="122"/>
        <v>270</v>
      </c>
      <c r="C765" s="176"/>
      <c r="D765" s="176"/>
      <c r="E765" s="176">
        <v>8</v>
      </c>
      <c r="F765" s="177"/>
      <c r="G765" s="177"/>
      <c r="H765" s="176" t="s">
        <v>6</v>
      </c>
      <c r="I765" s="178">
        <f>I766+I767+I768+I775+I776+I777+I778+I785+I786+I787</f>
        <v>3272981</v>
      </c>
      <c r="J765" s="178">
        <f>J766+J767+J768+J775+J776+J777+J778+J785+J786+J787</f>
        <v>3115371</v>
      </c>
      <c r="K765" s="361">
        <f t="shared" ref="K765:K787" si="124">J765/I765*100</f>
        <v>95.184512222955163</v>
      </c>
      <c r="L765" s="178">
        <f>L788</f>
        <v>84425</v>
      </c>
      <c r="M765" s="178">
        <f>M788</f>
        <v>84337</v>
      </c>
      <c r="N765" s="361">
        <f>M765/L765*100</f>
        <v>99.895765472312704</v>
      </c>
      <c r="O765" s="179">
        <f t="shared" si="120"/>
        <v>3357406</v>
      </c>
      <c r="P765" s="179">
        <f t="shared" si="121"/>
        <v>3199708</v>
      </c>
      <c r="Q765" s="361">
        <f t="shared" si="123"/>
        <v>95.3029809323031</v>
      </c>
    </row>
    <row r="766" spans="2:17" x14ac:dyDescent="0.2">
      <c r="B766" s="18">
        <f t="shared" si="122"/>
        <v>271</v>
      </c>
      <c r="C766" s="3"/>
      <c r="D766" s="3"/>
      <c r="E766" s="3"/>
      <c r="F766" s="90" t="s">
        <v>119</v>
      </c>
      <c r="G766" s="2">
        <v>610</v>
      </c>
      <c r="H766" s="3" t="s">
        <v>131</v>
      </c>
      <c r="I766" s="4">
        <f>537270-35000+39605</f>
        <v>541875</v>
      </c>
      <c r="J766" s="4">
        <v>541875</v>
      </c>
      <c r="K766" s="361">
        <f t="shared" si="124"/>
        <v>100</v>
      </c>
      <c r="L766" s="4"/>
      <c r="M766" s="4"/>
      <c r="N766" s="361"/>
      <c r="O766" s="92">
        <f t="shared" si="120"/>
        <v>541875</v>
      </c>
      <c r="P766" s="92">
        <f t="shared" si="121"/>
        <v>541875</v>
      </c>
      <c r="Q766" s="361">
        <f t="shared" si="123"/>
        <v>100</v>
      </c>
    </row>
    <row r="767" spans="2:17" x14ac:dyDescent="0.2">
      <c r="B767" s="18">
        <f t="shared" si="122"/>
        <v>272</v>
      </c>
      <c r="C767" s="3"/>
      <c r="D767" s="3"/>
      <c r="E767" s="3"/>
      <c r="F767" s="90" t="s">
        <v>119</v>
      </c>
      <c r="G767" s="2">
        <v>620</v>
      </c>
      <c r="H767" s="3" t="s">
        <v>124</v>
      </c>
      <c r="I767" s="4">
        <f>189515-13000+25136</f>
        <v>201651</v>
      </c>
      <c r="J767" s="4">
        <v>201651</v>
      </c>
      <c r="K767" s="361">
        <f t="shared" si="124"/>
        <v>100</v>
      </c>
      <c r="L767" s="4"/>
      <c r="M767" s="4"/>
      <c r="N767" s="361"/>
      <c r="O767" s="92">
        <f t="shared" si="120"/>
        <v>201651</v>
      </c>
      <c r="P767" s="92">
        <f t="shared" si="121"/>
        <v>201651</v>
      </c>
      <c r="Q767" s="361">
        <f t="shared" si="123"/>
        <v>100</v>
      </c>
    </row>
    <row r="768" spans="2:17" x14ac:dyDescent="0.2">
      <c r="B768" s="18">
        <f t="shared" si="122"/>
        <v>273</v>
      </c>
      <c r="C768" s="3"/>
      <c r="D768" s="3"/>
      <c r="E768" s="3"/>
      <c r="F768" s="90" t="s">
        <v>119</v>
      </c>
      <c r="G768" s="2">
        <v>630</v>
      </c>
      <c r="H768" s="3" t="s">
        <v>121</v>
      </c>
      <c r="I768" s="4">
        <f>I774+I773+I772+I771+I770+I769</f>
        <v>118681</v>
      </c>
      <c r="J768" s="4">
        <f>J774+J773+J772+J771+J770+J769</f>
        <v>106408</v>
      </c>
      <c r="K768" s="361">
        <f t="shared" si="124"/>
        <v>89.658833343163607</v>
      </c>
      <c r="L768" s="4"/>
      <c r="M768" s="4"/>
      <c r="N768" s="361"/>
      <c r="O768" s="92">
        <f t="shared" si="120"/>
        <v>118681</v>
      </c>
      <c r="P768" s="92">
        <f t="shared" si="121"/>
        <v>106408</v>
      </c>
      <c r="Q768" s="361">
        <f t="shared" si="123"/>
        <v>89.658833343163607</v>
      </c>
    </row>
    <row r="769" spans="2:17" x14ac:dyDescent="0.2">
      <c r="B769" s="18">
        <f t="shared" si="122"/>
        <v>274</v>
      </c>
      <c r="C769" s="6"/>
      <c r="D769" s="6"/>
      <c r="E769" s="6"/>
      <c r="F769" s="93"/>
      <c r="G769" s="5">
        <v>631</v>
      </c>
      <c r="H769" s="6" t="s">
        <v>127</v>
      </c>
      <c r="I769" s="7">
        <v>100</v>
      </c>
      <c r="J769" s="7">
        <v>100</v>
      </c>
      <c r="K769" s="361">
        <f t="shared" si="124"/>
        <v>100</v>
      </c>
      <c r="L769" s="7"/>
      <c r="M769" s="7"/>
      <c r="N769" s="361"/>
      <c r="O769" s="95">
        <f t="shared" si="120"/>
        <v>100</v>
      </c>
      <c r="P769" s="95">
        <f t="shared" si="121"/>
        <v>100</v>
      </c>
      <c r="Q769" s="361">
        <f t="shared" si="123"/>
        <v>100</v>
      </c>
    </row>
    <row r="770" spans="2:17" x14ac:dyDescent="0.2">
      <c r="B770" s="18">
        <f t="shared" si="122"/>
        <v>275</v>
      </c>
      <c r="C770" s="6"/>
      <c r="D770" s="6"/>
      <c r="E770" s="6"/>
      <c r="F770" s="93"/>
      <c r="G770" s="5">
        <v>632</v>
      </c>
      <c r="H770" s="6" t="s">
        <v>134</v>
      </c>
      <c r="I770" s="7">
        <f>1500+10000+30000+1400+2000+1000+250</f>
        <v>46150</v>
      </c>
      <c r="J770" s="7">
        <v>41099</v>
      </c>
      <c r="K770" s="361">
        <f t="shared" si="124"/>
        <v>89.055254604550385</v>
      </c>
      <c r="L770" s="7"/>
      <c r="M770" s="7"/>
      <c r="N770" s="361"/>
      <c r="O770" s="95">
        <f t="shared" si="120"/>
        <v>46150</v>
      </c>
      <c r="P770" s="95">
        <f t="shared" si="121"/>
        <v>41099</v>
      </c>
      <c r="Q770" s="361">
        <f t="shared" si="123"/>
        <v>89.055254604550385</v>
      </c>
    </row>
    <row r="771" spans="2:17" x14ac:dyDescent="0.2">
      <c r="B771" s="18">
        <f t="shared" si="122"/>
        <v>276</v>
      </c>
      <c r="C771" s="6"/>
      <c r="D771" s="6"/>
      <c r="E771" s="6"/>
      <c r="F771" s="93"/>
      <c r="G771" s="5">
        <v>633</v>
      </c>
      <c r="H771" s="6" t="s">
        <v>125</v>
      </c>
      <c r="I771" s="7">
        <f>780+600+800+150+2000+500+200+800+300+300+250+100+1000+1200+200+19423</f>
        <v>28603</v>
      </c>
      <c r="J771" s="7">
        <v>26980</v>
      </c>
      <c r="K771" s="361">
        <f t="shared" si="124"/>
        <v>94.325770024123344</v>
      </c>
      <c r="L771" s="7"/>
      <c r="M771" s="7"/>
      <c r="N771" s="361"/>
      <c r="O771" s="95">
        <f t="shared" si="120"/>
        <v>28603</v>
      </c>
      <c r="P771" s="95">
        <f t="shared" si="121"/>
        <v>26980</v>
      </c>
      <c r="Q771" s="361">
        <f t="shared" si="123"/>
        <v>94.325770024123344</v>
      </c>
    </row>
    <row r="772" spans="2:17" x14ac:dyDescent="0.2">
      <c r="B772" s="18">
        <f t="shared" si="122"/>
        <v>277</v>
      </c>
      <c r="C772" s="6"/>
      <c r="D772" s="6"/>
      <c r="E772" s="6"/>
      <c r="F772" s="93"/>
      <c r="G772" s="5">
        <v>635</v>
      </c>
      <c r="H772" s="6" t="s">
        <v>133</v>
      </c>
      <c r="I772" s="7">
        <f>4000+350+400+250+350</f>
        <v>5350</v>
      </c>
      <c r="J772" s="7">
        <v>2303</v>
      </c>
      <c r="K772" s="361">
        <f t="shared" si="124"/>
        <v>43.046728971962615</v>
      </c>
      <c r="L772" s="7"/>
      <c r="M772" s="7"/>
      <c r="N772" s="361"/>
      <c r="O772" s="95">
        <f t="shared" si="120"/>
        <v>5350</v>
      </c>
      <c r="P772" s="95">
        <f t="shared" si="121"/>
        <v>2303</v>
      </c>
      <c r="Q772" s="361">
        <f t="shared" si="123"/>
        <v>43.046728971962615</v>
      </c>
    </row>
    <row r="773" spans="2:17" x14ac:dyDescent="0.2">
      <c r="B773" s="18">
        <f t="shared" si="122"/>
        <v>278</v>
      </c>
      <c r="C773" s="6"/>
      <c r="D773" s="6"/>
      <c r="E773" s="6"/>
      <c r="F773" s="93"/>
      <c r="G773" s="5">
        <v>636</v>
      </c>
      <c r="H773" s="6" t="s">
        <v>126</v>
      </c>
      <c r="I773" s="7">
        <v>1600</v>
      </c>
      <c r="J773" s="7">
        <v>1600</v>
      </c>
      <c r="K773" s="361">
        <f t="shared" si="124"/>
        <v>100</v>
      </c>
      <c r="L773" s="7"/>
      <c r="M773" s="7"/>
      <c r="N773" s="361"/>
      <c r="O773" s="95">
        <f t="shared" si="120"/>
        <v>1600</v>
      </c>
      <c r="P773" s="95">
        <f t="shared" si="121"/>
        <v>1600</v>
      </c>
      <c r="Q773" s="361">
        <f t="shared" si="123"/>
        <v>100</v>
      </c>
    </row>
    <row r="774" spans="2:17" x14ac:dyDescent="0.2">
      <c r="B774" s="18">
        <f t="shared" si="122"/>
        <v>279</v>
      </c>
      <c r="C774" s="6"/>
      <c r="D774" s="6"/>
      <c r="E774" s="6"/>
      <c r="F774" s="93"/>
      <c r="G774" s="5">
        <v>637</v>
      </c>
      <c r="H774" s="6" t="s">
        <v>122</v>
      </c>
      <c r="I774" s="7">
        <f>250+450+100+350+400+150+10000+9000+1300+8000+1200+2000+3678</f>
        <v>36878</v>
      </c>
      <c r="J774" s="7">
        <v>34326</v>
      </c>
      <c r="K774" s="361">
        <f t="shared" si="124"/>
        <v>93.079885026302946</v>
      </c>
      <c r="L774" s="7"/>
      <c r="M774" s="7"/>
      <c r="N774" s="361"/>
      <c r="O774" s="95">
        <f t="shared" si="120"/>
        <v>36878</v>
      </c>
      <c r="P774" s="95">
        <f t="shared" si="121"/>
        <v>34326</v>
      </c>
      <c r="Q774" s="361">
        <f t="shared" si="123"/>
        <v>93.079885026302946</v>
      </c>
    </row>
    <row r="775" spans="2:17" x14ac:dyDescent="0.2">
      <c r="B775" s="18">
        <f t="shared" si="122"/>
        <v>280</v>
      </c>
      <c r="C775" s="3"/>
      <c r="D775" s="3"/>
      <c r="E775" s="3"/>
      <c r="F775" s="90" t="s">
        <v>119</v>
      </c>
      <c r="G775" s="2">
        <v>640</v>
      </c>
      <c r="H775" s="3" t="s">
        <v>129</v>
      </c>
      <c r="I775" s="4">
        <f>9240+1200+600+4000-11890</f>
        <v>3150</v>
      </c>
      <c r="J775" s="4">
        <v>3150</v>
      </c>
      <c r="K775" s="361">
        <f t="shared" si="124"/>
        <v>100</v>
      </c>
      <c r="L775" s="4"/>
      <c r="M775" s="4"/>
      <c r="N775" s="361"/>
      <c r="O775" s="92">
        <f t="shared" si="120"/>
        <v>3150</v>
      </c>
      <c r="P775" s="92">
        <f t="shared" si="121"/>
        <v>3150</v>
      </c>
      <c r="Q775" s="361">
        <f t="shared" si="123"/>
        <v>100</v>
      </c>
    </row>
    <row r="776" spans="2:17" x14ac:dyDescent="0.2">
      <c r="B776" s="18">
        <f t="shared" si="122"/>
        <v>281</v>
      </c>
      <c r="C776" s="3"/>
      <c r="D776" s="3"/>
      <c r="E776" s="3"/>
      <c r="F776" s="90" t="s">
        <v>108</v>
      </c>
      <c r="G776" s="2">
        <v>610</v>
      </c>
      <c r="H776" s="3" t="s">
        <v>131</v>
      </c>
      <c r="I776" s="4">
        <f>1104725+100-46960+64965</f>
        <v>1122830</v>
      </c>
      <c r="J776" s="4">
        <v>1122830</v>
      </c>
      <c r="K776" s="361">
        <f t="shared" si="124"/>
        <v>100</v>
      </c>
      <c r="L776" s="4"/>
      <c r="M776" s="4"/>
      <c r="N776" s="361"/>
      <c r="O776" s="92">
        <f t="shared" si="120"/>
        <v>1122830</v>
      </c>
      <c r="P776" s="92">
        <f t="shared" si="121"/>
        <v>1122830</v>
      </c>
      <c r="Q776" s="361">
        <f t="shared" si="123"/>
        <v>100</v>
      </c>
    </row>
    <row r="777" spans="2:17" x14ac:dyDescent="0.2">
      <c r="B777" s="18">
        <f t="shared" si="122"/>
        <v>282</v>
      </c>
      <c r="C777" s="3"/>
      <c r="D777" s="3"/>
      <c r="E777" s="3"/>
      <c r="F777" s="90" t="s">
        <v>108</v>
      </c>
      <c r="G777" s="2">
        <v>620</v>
      </c>
      <c r="H777" s="3" t="s">
        <v>124</v>
      </c>
      <c r="I777" s="4">
        <f>399295+35-17323+38618</f>
        <v>420625</v>
      </c>
      <c r="J777" s="4">
        <v>420625</v>
      </c>
      <c r="K777" s="361">
        <f t="shared" si="124"/>
        <v>100</v>
      </c>
      <c r="L777" s="4"/>
      <c r="M777" s="4"/>
      <c r="N777" s="361"/>
      <c r="O777" s="92">
        <f t="shared" si="120"/>
        <v>420625</v>
      </c>
      <c r="P777" s="92">
        <f t="shared" si="121"/>
        <v>420625</v>
      </c>
      <c r="Q777" s="361">
        <f t="shared" si="123"/>
        <v>100</v>
      </c>
    </row>
    <row r="778" spans="2:17" x14ac:dyDescent="0.2">
      <c r="B778" s="18">
        <f t="shared" si="122"/>
        <v>283</v>
      </c>
      <c r="C778" s="3"/>
      <c r="D778" s="3"/>
      <c r="E778" s="3"/>
      <c r="F778" s="90" t="s">
        <v>108</v>
      </c>
      <c r="G778" s="2">
        <v>630</v>
      </c>
      <c r="H778" s="3" t="s">
        <v>121</v>
      </c>
      <c r="I778" s="4">
        <f>SUM(I779:I784)</f>
        <v>513640</v>
      </c>
      <c r="J778" s="4">
        <f>SUM(J779:J784)</f>
        <v>374530</v>
      </c>
      <c r="K778" s="361">
        <f t="shared" si="124"/>
        <v>72.916828907405957</v>
      </c>
      <c r="L778" s="4"/>
      <c r="M778" s="4"/>
      <c r="N778" s="361"/>
      <c r="O778" s="92">
        <f t="shared" si="120"/>
        <v>513640</v>
      </c>
      <c r="P778" s="92">
        <f t="shared" si="121"/>
        <v>374530</v>
      </c>
      <c r="Q778" s="361">
        <f t="shared" si="123"/>
        <v>72.916828907405957</v>
      </c>
    </row>
    <row r="779" spans="2:17" x14ac:dyDescent="0.2">
      <c r="B779" s="18">
        <f t="shared" si="122"/>
        <v>284</v>
      </c>
      <c r="C779" s="6"/>
      <c r="D779" s="6"/>
      <c r="E779" s="6"/>
      <c r="F779" s="93"/>
      <c r="G779" s="5">
        <v>631</v>
      </c>
      <c r="H779" s="6" t="s">
        <v>127</v>
      </c>
      <c r="I779" s="7">
        <f>100+90</f>
        <v>190</v>
      </c>
      <c r="J779" s="7">
        <v>190</v>
      </c>
      <c r="K779" s="361">
        <f t="shared" si="124"/>
        <v>100</v>
      </c>
      <c r="L779" s="7"/>
      <c r="M779" s="7"/>
      <c r="N779" s="361"/>
      <c r="O779" s="95">
        <f t="shared" si="120"/>
        <v>190</v>
      </c>
      <c r="P779" s="95">
        <f t="shared" si="121"/>
        <v>190</v>
      </c>
      <c r="Q779" s="361">
        <f t="shared" si="123"/>
        <v>100</v>
      </c>
    </row>
    <row r="780" spans="2:17" x14ac:dyDescent="0.2">
      <c r="B780" s="18">
        <f t="shared" si="122"/>
        <v>285</v>
      </c>
      <c r="C780" s="6"/>
      <c r="D780" s="6"/>
      <c r="E780" s="6"/>
      <c r="F780" s="93"/>
      <c r="G780" s="5">
        <v>632</v>
      </c>
      <c r="H780" s="6" t="s">
        <v>134</v>
      </c>
      <c r="I780" s="7">
        <f>2600+2300+20000+6400+110000+2800+750+250+1600+93000-25000+10176</f>
        <v>224876</v>
      </c>
      <c r="J780" s="7">
        <v>96833</v>
      </c>
      <c r="K780" s="361">
        <f t="shared" si="124"/>
        <v>43.060620075063589</v>
      </c>
      <c r="L780" s="7"/>
      <c r="M780" s="7"/>
      <c r="N780" s="361"/>
      <c r="O780" s="95">
        <f t="shared" si="120"/>
        <v>224876</v>
      </c>
      <c r="P780" s="95">
        <f t="shared" si="121"/>
        <v>96833</v>
      </c>
      <c r="Q780" s="361">
        <f t="shared" si="123"/>
        <v>43.060620075063589</v>
      </c>
    </row>
    <row r="781" spans="2:17" x14ac:dyDescent="0.2">
      <c r="B781" s="18">
        <f t="shared" si="122"/>
        <v>286</v>
      </c>
      <c r="C781" s="6"/>
      <c r="D781" s="6"/>
      <c r="E781" s="6"/>
      <c r="F781" s="93"/>
      <c r="G781" s="5">
        <v>633</v>
      </c>
      <c r="H781" s="6" t="s">
        <v>125</v>
      </c>
      <c r="I781" s="7">
        <f>160+4000+800+800+40+300+500+200+300+100+100+139340+1000+1000+200+7753+1000+600+5001+550</f>
        <v>163744</v>
      </c>
      <c r="J781" s="7">
        <v>161405</v>
      </c>
      <c r="K781" s="361">
        <f t="shared" si="124"/>
        <v>98.571550713308582</v>
      </c>
      <c r="L781" s="7"/>
      <c r="M781" s="7"/>
      <c r="N781" s="361"/>
      <c r="O781" s="95">
        <f t="shared" si="120"/>
        <v>163744</v>
      </c>
      <c r="P781" s="95">
        <f t="shared" si="121"/>
        <v>161405</v>
      </c>
      <c r="Q781" s="361">
        <f t="shared" si="123"/>
        <v>98.571550713308582</v>
      </c>
    </row>
    <row r="782" spans="2:17" x14ac:dyDescent="0.2">
      <c r="B782" s="18">
        <f t="shared" si="122"/>
        <v>287</v>
      </c>
      <c r="C782" s="6"/>
      <c r="D782" s="6"/>
      <c r="E782" s="6"/>
      <c r="F782" s="93"/>
      <c r="G782" s="5">
        <v>635</v>
      </c>
      <c r="H782" s="6" t="s">
        <v>133</v>
      </c>
      <c r="I782" s="7">
        <f>4000+2000+25250+2000+500+600+300+300+200+2580+6082</f>
        <v>43812</v>
      </c>
      <c r="J782" s="7">
        <v>43812</v>
      </c>
      <c r="K782" s="361">
        <f t="shared" si="124"/>
        <v>100</v>
      </c>
      <c r="L782" s="7"/>
      <c r="M782" s="7"/>
      <c r="N782" s="361"/>
      <c r="O782" s="95">
        <f t="shared" si="120"/>
        <v>43812</v>
      </c>
      <c r="P782" s="95">
        <f t="shared" si="121"/>
        <v>43812</v>
      </c>
      <c r="Q782" s="361">
        <f t="shared" si="123"/>
        <v>100</v>
      </c>
    </row>
    <row r="783" spans="2:17" x14ac:dyDescent="0.2">
      <c r="B783" s="18">
        <f t="shared" si="122"/>
        <v>288</v>
      </c>
      <c r="C783" s="6"/>
      <c r="D783" s="6"/>
      <c r="E783" s="6"/>
      <c r="F783" s="93"/>
      <c r="G783" s="5">
        <v>636</v>
      </c>
      <c r="H783" s="6" t="s">
        <v>126</v>
      </c>
      <c r="I783" s="7">
        <v>3000</v>
      </c>
      <c r="J783" s="7">
        <v>2438</v>
      </c>
      <c r="K783" s="361">
        <f t="shared" si="124"/>
        <v>81.266666666666666</v>
      </c>
      <c r="L783" s="7"/>
      <c r="M783" s="7"/>
      <c r="N783" s="361"/>
      <c r="O783" s="95">
        <f t="shared" si="120"/>
        <v>3000</v>
      </c>
      <c r="P783" s="95">
        <f t="shared" si="121"/>
        <v>2438</v>
      </c>
      <c r="Q783" s="361">
        <f t="shared" si="123"/>
        <v>81.266666666666666</v>
      </c>
    </row>
    <row r="784" spans="2:17" x14ac:dyDescent="0.2">
      <c r="B784" s="18">
        <f t="shared" si="122"/>
        <v>289</v>
      </c>
      <c r="C784" s="6"/>
      <c r="D784" s="6"/>
      <c r="E784" s="6"/>
      <c r="F784" s="93"/>
      <c r="G784" s="5">
        <v>637</v>
      </c>
      <c r="H784" s="6" t="s">
        <v>122</v>
      </c>
      <c r="I784" s="7">
        <f>300+5000+350+80+18000+465+800+560+160+13000+3500+20+13000+1400+11000+10000+1680+2350-3000-3044+2397</f>
        <v>78018</v>
      </c>
      <c r="J784" s="7">
        <v>69852</v>
      </c>
      <c r="K784" s="361">
        <f t="shared" si="124"/>
        <v>89.533184649696224</v>
      </c>
      <c r="L784" s="7"/>
      <c r="M784" s="7"/>
      <c r="N784" s="361"/>
      <c r="O784" s="95">
        <f t="shared" si="120"/>
        <v>78018</v>
      </c>
      <c r="P784" s="95">
        <f t="shared" si="121"/>
        <v>69852</v>
      </c>
      <c r="Q784" s="361">
        <f t="shared" si="123"/>
        <v>89.533184649696224</v>
      </c>
    </row>
    <row r="785" spans="2:17" x14ac:dyDescent="0.2">
      <c r="B785" s="18">
        <f t="shared" si="122"/>
        <v>290</v>
      </c>
      <c r="C785" s="3"/>
      <c r="D785" s="3"/>
      <c r="E785" s="3"/>
      <c r="F785" s="90" t="s">
        <v>108</v>
      </c>
      <c r="G785" s="2">
        <v>640</v>
      </c>
      <c r="H785" s="3" t="s">
        <v>129</v>
      </c>
      <c r="I785" s="4">
        <f>15900+1600+270+800+6000-13693-4</f>
        <v>10873</v>
      </c>
      <c r="J785" s="4">
        <v>9797</v>
      </c>
      <c r="K785" s="361">
        <f t="shared" si="124"/>
        <v>90.103927159017744</v>
      </c>
      <c r="L785" s="4"/>
      <c r="M785" s="4"/>
      <c r="N785" s="361"/>
      <c r="O785" s="92">
        <f t="shared" si="120"/>
        <v>10873</v>
      </c>
      <c r="P785" s="92">
        <f t="shared" si="121"/>
        <v>9797</v>
      </c>
      <c r="Q785" s="361">
        <f t="shared" si="123"/>
        <v>90.103927159017744</v>
      </c>
    </row>
    <row r="786" spans="2:17" x14ac:dyDescent="0.2">
      <c r="B786" s="18">
        <f t="shared" si="122"/>
        <v>291</v>
      </c>
      <c r="C786" s="3"/>
      <c r="D786" s="3"/>
      <c r="E786" s="3"/>
      <c r="F786" s="90"/>
      <c r="G786" s="2">
        <v>600</v>
      </c>
      <c r="H786" s="3" t="s">
        <v>625</v>
      </c>
      <c r="I786" s="4">
        <v>53806</v>
      </c>
      <c r="J786" s="4">
        <v>53806</v>
      </c>
      <c r="K786" s="361">
        <f t="shared" si="124"/>
        <v>100</v>
      </c>
      <c r="L786" s="4"/>
      <c r="M786" s="4"/>
      <c r="N786" s="361"/>
      <c r="O786" s="92">
        <f t="shared" si="120"/>
        <v>53806</v>
      </c>
      <c r="P786" s="92">
        <f t="shared" si="121"/>
        <v>53806</v>
      </c>
      <c r="Q786" s="361">
        <f t="shared" si="123"/>
        <v>100</v>
      </c>
    </row>
    <row r="787" spans="2:17" x14ac:dyDescent="0.2">
      <c r="B787" s="18">
        <f t="shared" si="122"/>
        <v>292</v>
      </c>
      <c r="C787" s="3"/>
      <c r="D787" s="3"/>
      <c r="E787" s="3"/>
      <c r="F787" s="90" t="s">
        <v>75</v>
      </c>
      <c r="G787" s="2">
        <v>633</v>
      </c>
      <c r="H787" s="3" t="s">
        <v>735</v>
      </c>
      <c r="I787" s="4">
        <v>285850</v>
      </c>
      <c r="J787" s="4">
        <v>280699</v>
      </c>
      <c r="K787" s="361">
        <f t="shared" si="124"/>
        <v>98.198005947175091</v>
      </c>
      <c r="L787" s="4"/>
      <c r="M787" s="4"/>
      <c r="N787" s="361"/>
      <c r="O787" s="92">
        <f t="shared" si="120"/>
        <v>285850</v>
      </c>
      <c r="P787" s="92">
        <f t="shared" si="121"/>
        <v>280699</v>
      </c>
      <c r="Q787" s="361">
        <f t="shared" si="123"/>
        <v>98.198005947175091</v>
      </c>
    </row>
    <row r="788" spans="2:17" x14ac:dyDescent="0.2">
      <c r="B788" s="18">
        <f t="shared" si="122"/>
        <v>293</v>
      </c>
      <c r="C788" s="3"/>
      <c r="D788" s="3"/>
      <c r="E788" s="3"/>
      <c r="F788" s="90" t="s">
        <v>108</v>
      </c>
      <c r="G788" s="2">
        <v>710</v>
      </c>
      <c r="H788" s="3" t="s">
        <v>175</v>
      </c>
      <c r="I788" s="4"/>
      <c r="J788" s="4"/>
      <c r="K788" s="361"/>
      <c r="L788" s="4">
        <f>L789</f>
        <v>84425</v>
      </c>
      <c r="M788" s="4">
        <f>M789</f>
        <v>84337</v>
      </c>
      <c r="N788" s="361">
        <f>M788/L788*100</f>
        <v>99.895765472312704</v>
      </c>
      <c r="O788" s="92">
        <f t="shared" si="120"/>
        <v>84425</v>
      </c>
      <c r="P788" s="92">
        <f t="shared" si="121"/>
        <v>84337</v>
      </c>
      <c r="Q788" s="361">
        <f t="shared" si="123"/>
        <v>99.895765472312704</v>
      </c>
    </row>
    <row r="789" spans="2:17" x14ac:dyDescent="0.2">
      <c r="B789" s="18">
        <f t="shared" si="122"/>
        <v>294</v>
      </c>
      <c r="C789" s="3"/>
      <c r="D789" s="3"/>
      <c r="E789" s="3"/>
      <c r="F789" s="93"/>
      <c r="G789" s="5">
        <v>717</v>
      </c>
      <c r="H789" s="6" t="s">
        <v>182</v>
      </c>
      <c r="I789" s="7"/>
      <c r="J789" s="7"/>
      <c r="K789" s="361"/>
      <c r="L789" s="7">
        <f>L791+L790</f>
        <v>84425</v>
      </c>
      <c r="M789" s="7">
        <f>M791+M790</f>
        <v>84337</v>
      </c>
      <c r="N789" s="361">
        <f>M789/L789*100</f>
        <v>99.895765472312704</v>
      </c>
      <c r="O789" s="95">
        <f t="shared" si="120"/>
        <v>84425</v>
      </c>
      <c r="P789" s="95">
        <f t="shared" si="121"/>
        <v>84337</v>
      </c>
      <c r="Q789" s="361">
        <f t="shared" si="123"/>
        <v>99.895765472312704</v>
      </c>
    </row>
    <row r="790" spans="2:17" x14ac:dyDescent="0.2">
      <c r="B790" s="18">
        <f t="shared" si="122"/>
        <v>295</v>
      </c>
      <c r="C790" s="3"/>
      <c r="D790" s="3"/>
      <c r="E790" s="3"/>
      <c r="F790" s="93"/>
      <c r="G790" s="5"/>
      <c r="H790" s="9" t="s">
        <v>683</v>
      </c>
      <c r="I790" s="10"/>
      <c r="J790" s="10"/>
      <c r="K790" s="361"/>
      <c r="L790" s="10">
        <f>36000+11000+4600</f>
        <v>51600</v>
      </c>
      <c r="M790" s="10">
        <v>51512</v>
      </c>
      <c r="N790" s="361">
        <f>M790/L790*100</f>
        <v>99.829457364341096</v>
      </c>
      <c r="O790" s="108">
        <f t="shared" si="120"/>
        <v>51600</v>
      </c>
      <c r="P790" s="108">
        <f t="shared" si="121"/>
        <v>51512</v>
      </c>
      <c r="Q790" s="361">
        <f t="shared" ref="Q790:Q809" si="125">P790/O790*100</f>
        <v>99.829457364341096</v>
      </c>
    </row>
    <row r="791" spans="2:17" x14ac:dyDescent="0.2">
      <c r="B791" s="18">
        <f t="shared" si="122"/>
        <v>296</v>
      </c>
      <c r="C791" s="3"/>
      <c r="D791" s="3"/>
      <c r="E791" s="3"/>
      <c r="F791" s="194"/>
      <c r="G791" s="106"/>
      <c r="H791" s="9" t="s">
        <v>631</v>
      </c>
      <c r="I791" s="10"/>
      <c r="J791" s="10"/>
      <c r="K791" s="361"/>
      <c r="L791" s="10">
        <f>35000-2175</f>
        <v>32825</v>
      </c>
      <c r="M791" s="10">
        <v>32825</v>
      </c>
      <c r="N791" s="361">
        <f>M791/L791*100</f>
        <v>100</v>
      </c>
      <c r="O791" s="108">
        <f t="shared" si="120"/>
        <v>32825</v>
      </c>
      <c r="P791" s="108">
        <f t="shared" si="121"/>
        <v>32825</v>
      </c>
      <c r="Q791" s="361">
        <f t="shared" si="125"/>
        <v>100</v>
      </c>
    </row>
    <row r="792" spans="2:17" ht="15" x14ac:dyDescent="0.25">
      <c r="B792" s="18">
        <f t="shared" si="122"/>
        <v>297</v>
      </c>
      <c r="C792" s="176"/>
      <c r="D792" s="176"/>
      <c r="E792" s="176">
        <v>9</v>
      </c>
      <c r="F792" s="177"/>
      <c r="G792" s="177"/>
      <c r="H792" s="176" t="s">
        <v>4</v>
      </c>
      <c r="I792" s="178">
        <f>I793+I794+I795+I803+I804+I805+I806+I814+I815+I816</f>
        <v>2304584</v>
      </c>
      <c r="J792" s="178">
        <f>J793+J794+J795+J803+J804+J805+J806+J814+J815+J816</f>
        <v>2200333</v>
      </c>
      <c r="K792" s="361">
        <f t="shared" ref="K792:K816" si="126">J792/I792*100</f>
        <v>95.476363630052106</v>
      </c>
      <c r="L792" s="178">
        <f>L817</f>
        <v>76990</v>
      </c>
      <c r="M792" s="178">
        <f>M817</f>
        <v>75975</v>
      </c>
      <c r="N792" s="361">
        <f>M792/L792*100</f>
        <v>98.68164696713859</v>
      </c>
      <c r="O792" s="179">
        <f t="shared" si="120"/>
        <v>2381574</v>
      </c>
      <c r="P792" s="179">
        <f t="shared" si="121"/>
        <v>2276308</v>
      </c>
      <c r="Q792" s="361">
        <f t="shared" si="125"/>
        <v>95.579981978305113</v>
      </c>
    </row>
    <row r="793" spans="2:17" x14ac:dyDescent="0.2">
      <c r="B793" s="18">
        <f t="shared" si="122"/>
        <v>298</v>
      </c>
      <c r="C793" s="3"/>
      <c r="D793" s="3"/>
      <c r="E793" s="3"/>
      <c r="F793" s="90" t="s">
        <v>119</v>
      </c>
      <c r="G793" s="2">
        <v>610</v>
      </c>
      <c r="H793" s="3" t="s">
        <v>131</v>
      </c>
      <c r="I793" s="4">
        <f>404600+5400+35000+10000</f>
        <v>455000</v>
      </c>
      <c r="J793" s="4">
        <v>455000</v>
      </c>
      <c r="K793" s="361">
        <f t="shared" si="126"/>
        <v>100</v>
      </c>
      <c r="L793" s="4"/>
      <c r="M793" s="4"/>
      <c r="N793" s="361"/>
      <c r="O793" s="92">
        <f t="shared" si="120"/>
        <v>455000</v>
      </c>
      <c r="P793" s="92">
        <f t="shared" si="121"/>
        <v>455000</v>
      </c>
      <c r="Q793" s="361">
        <f t="shared" si="125"/>
        <v>100</v>
      </c>
    </row>
    <row r="794" spans="2:17" s="122" customFormat="1" x14ac:dyDescent="0.2">
      <c r="B794" s="18">
        <f t="shared" si="122"/>
        <v>299</v>
      </c>
      <c r="C794" s="3"/>
      <c r="D794" s="3"/>
      <c r="E794" s="3"/>
      <c r="F794" s="90" t="s">
        <v>119</v>
      </c>
      <c r="G794" s="2">
        <v>620</v>
      </c>
      <c r="H794" s="3" t="s">
        <v>124</v>
      </c>
      <c r="I794" s="4">
        <f>34275+11425+6400+63980+13710+3655+4500+4570+21710</f>
        <v>164225</v>
      </c>
      <c r="J794" s="4">
        <v>164225</v>
      </c>
      <c r="K794" s="361">
        <f t="shared" si="126"/>
        <v>100</v>
      </c>
      <c r="L794" s="4"/>
      <c r="M794" s="4"/>
      <c r="N794" s="361"/>
      <c r="O794" s="92">
        <f t="shared" si="120"/>
        <v>164225</v>
      </c>
      <c r="P794" s="92">
        <f t="shared" si="121"/>
        <v>164225</v>
      </c>
      <c r="Q794" s="361">
        <f t="shared" si="125"/>
        <v>100</v>
      </c>
    </row>
    <row r="795" spans="2:17" s="122" customFormat="1" x14ac:dyDescent="0.2">
      <c r="B795" s="18">
        <f t="shared" si="122"/>
        <v>300</v>
      </c>
      <c r="C795" s="3"/>
      <c r="D795" s="3"/>
      <c r="E795" s="3"/>
      <c r="F795" s="90" t="s">
        <v>119</v>
      </c>
      <c r="G795" s="2">
        <v>630</v>
      </c>
      <c r="H795" s="3" t="s">
        <v>121</v>
      </c>
      <c r="I795" s="4">
        <f>I802+I801+I800+I799+I798+I797+I796</f>
        <v>156415</v>
      </c>
      <c r="J795" s="4">
        <f>J802+J801+J800+J799+J798+J797+J796</f>
        <v>144086</v>
      </c>
      <c r="K795" s="361">
        <f t="shared" si="126"/>
        <v>92.117763641594479</v>
      </c>
      <c r="L795" s="4"/>
      <c r="M795" s="4"/>
      <c r="N795" s="361"/>
      <c r="O795" s="92">
        <f t="shared" si="120"/>
        <v>156415</v>
      </c>
      <c r="P795" s="92">
        <f t="shared" si="121"/>
        <v>144086</v>
      </c>
      <c r="Q795" s="361">
        <f t="shared" si="125"/>
        <v>92.117763641594479</v>
      </c>
    </row>
    <row r="796" spans="2:17" s="122" customFormat="1" x14ac:dyDescent="0.2">
      <c r="B796" s="18">
        <f t="shared" si="122"/>
        <v>301</v>
      </c>
      <c r="C796" s="6"/>
      <c r="D796" s="6"/>
      <c r="E796" s="6"/>
      <c r="F796" s="93"/>
      <c r="G796" s="5">
        <v>631</v>
      </c>
      <c r="H796" s="6" t="s">
        <v>127</v>
      </c>
      <c r="I796" s="7">
        <f>300+155</f>
        <v>455</v>
      </c>
      <c r="J796" s="7">
        <v>455</v>
      </c>
      <c r="K796" s="361">
        <f t="shared" si="126"/>
        <v>100</v>
      </c>
      <c r="L796" s="7"/>
      <c r="M796" s="7"/>
      <c r="N796" s="361"/>
      <c r="O796" s="95">
        <f t="shared" si="120"/>
        <v>455</v>
      </c>
      <c r="P796" s="95">
        <f t="shared" si="121"/>
        <v>455</v>
      </c>
      <c r="Q796" s="361">
        <f t="shared" si="125"/>
        <v>100</v>
      </c>
    </row>
    <row r="797" spans="2:17" x14ac:dyDescent="0.2">
      <c r="B797" s="18">
        <f t="shared" si="122"/>
        <v>302</v>
      </c>
      <c r="C797" s="6"/>
      <c r="D797" s="6"/>
      <c r="E797" s="6"/>
      <c r="F797" s="93"/>
      <c r="G797" s="5">
        <v>632</v>
      </c>
      <c r="H797" s="6" t="s">
        <v>134</v>
      </c>
      <c r="I797" s="7">
        <f>400+1500+8000+50000+2500+500-15550-18000</f>
        <v>29350</v>
      </c>
      <c r="J797" s="7">
        <v>22162</v>
      </c>
      <c r="K797" s="361">
        <f t="shared" si="126"/>
        <v>75.509369676320276</v>
      </c>
      <c r="L797" s="7"/>
      <c r="M797" s="7"/>
      <c r="N797" s="361"/>
      <c r="O797" s="95">
        <f t="shared" si="120"/>
        <v>29350</v>
      </c>
      <c r="P797" s="95">
        <f t="shared" si="121"/>
        <v>22162</v>
      </c>
      <c r="Q797" s="361">
        <f t="shared" si="125"/>
        <v>75.509369676320276</v>
      </c>
    </row>
    <row r="798" spans="2:17" x14ac:dyDescent="0.2">
      <c r="B798" s="18">
        <f t="shared" si="122"/>
        <v>303</v>
      </c>
      <c r="C798" s="6"/>
      <c r="D798" s="6"/>
      <c r="E798" s="6"/>
      <c r="F798" s="93"/>
      <c r="G798" s="5">
        <v>633</v>
      </c>
      <c r="H798" s="6" t="s">
        <v>125</v>
      </c>
      <c r="I798" s="7">
        <f>6000+500+400+250+39858</f>
        <v>47008</v>
      </c>
      <c r="J798" s="7">
        <v>42523</v>
      </c>
      <c r="K798" s="361">
        <f t="shared" si="126"/>
        <v>90.459070796460168</v>
      </c>
      <c r="L798" s="7"/>
      <c r="M798" s="7"/>
      <c r="N798" s="361"/>
      <c r="O798" s="95">
        <f t="shared" si="120"/>
        <v>47008</v>
      </c>
      <c r="P798" s="95">
        <f t="shared" si="121"/>
        <v>42523</v>
      </c>
      <c r="Q798" s="361">
        <f t="shared" si="125"/>
        <v>90.459070796460168</v>
      </c>
    </row>
    <row r="799" spans="2:17" x14ac:dyDescent="0.2">
      <c r="B799" s="18">
        <f t="shared" si="122"/>
        <v>304</v>
      </c>
      <c r="C799" s="6"/>
      <c r="D799" s="6"/>
      <c r="E799" s="6"/>
      <c r="F799" s="93"/>
      <c r="G799" s="5">
        <v>634</v>
      </c>
      <c r="H799" s="6" t="s">
        <v>132</v>
      </c>
      <c r="I799" s="7">
        <f>1500+142</f>
        <v>1642</v>
      </c>
      <c r="J799" s="7">
        <v>1642</v>
      </c>
      <c r="K799" s="361">
        <f t="shared" si="126"/>
        <v>100</v>
      </c>
      <c r="L799" s="7"/>
      <c r="M799" s="7"/>
      <c r="N799" s="361"/>
      <c r="O799" s="95">
        <f t="shared" si="120"/>
        <v>1642</v>
      </c>
      <c r="P799" s="95">
        <f t="shared" si="121"/>
        <v>1642</v>
      </c>
      <c r="Q799" s="361">
        <f t="shared" si="125"/>
        <v>100</v>
      </c>
    </row>
    <row r="800" spans="2:17" x14ac:dyDescent="0.2">
      <c r="B800" s="18">
        <f t="shared" si="122"/>
        <v>305</v>
      </c>
      <c r="C800" s="6"/>
      <c r="D800" s="6"/>
      <c r="E800" s="6"/>
      <c r="F800" s="93"/>
      <c r="G800" s="5">
        <v>635</v>
      </c>
      <c r="H800" s="6" t="s">
        <v>133</v>
      </c>
      <c r="I800" s="7">
        <f>2500+16100-9100</f>
        <v>9500</v>
      </c>
      <c r="J800" s="7">
        <v>9202</v>
      </c>
      <c r="K800" s="361">
        <f t="shared" si="126"/>
        <v>96.863157894736844</v>
      </c>
      <c r="L800" s="7"/>
      <c r="M800" s="7"/>
      <c r="N800" s="361"/>
      <c r="O800" s="95">
        <f t="shared" si="120"/>
        <v>9500</v>
      </c>
      <c r="P800" s="95">
        <f t="shared" si="121"/>
        <v>9202</v>
      </c>
      <c r="Q800" s="361">
        <f t="shared" si="125"/>
        <v>96.863157894736844</v>
      </c>
    </row>
    <row r="801" spans="2:17" x14ac:dyDescent="0.2">
      <c r="B801" s="18">
        <f t="shared" si="122"/>
        <v>306</v>
      </c>
      <c r="C801" s="6"/>
      <c r="D801" s="6"/>
      <c r="E801" s="6"/>
      <c r="F801" s="93"/>
      <c r="G801" s="5">
        <v>636</v>
      </c>
      <c r="H801" s="6" t="s">
        <v>126</v>
      </c>
      <c r="I801" s="7">
        <f>500+360</f>
        <v>860</v>
      </c>
      <c r="J801" s="7">
        <v>848</v>
      </c>
      <c r="K801" s="361">
        <f t="shared" si="126"/>
        <v>98.604651162790702</v>
      </c>
      <c r="L801" s="7"/>
      <c r="M801" s="7"/>
      <c r="N801" s="361"/>
      <c r="O801" s="95">
        <f t="shared" si="120"/>
        <v>860</v>
      </c>
      <c r="P801" s="95">
        <f t="shared" si="121"/>
        <v>848</v>
      </c>
      <c r="Q801" s="361">
        <f t="shared" si="125"/>
        <v>98.604651162790702</v>
      </c>
    </row>
    <row r="802" spans="2:17" x14ac:dyDescent="0.2">
      <c r="B802" s="18">
        <f t="shared" si="122"/>
        <v>307</v>
      </c>
      <c r="C802" s="6"/>
      <c r="D802" s="6"/>
      <c r="E802" s="6"/>
      <c r="F802" s="93"/>
      <c r="G802" s="5">
        <v>637</v>
      </c>
      <c r="H802" s="6" t="s">
        <v>122</v>
      </c>
      <c r="I802" s="7">
        <f>480+370+3500+200+8000+1500+4700+2000+600+1000+10000+35250</f>
        <v>67600</v>
      </c>
      <c r="J802" s="7">
        <v>67254</v>
      </c>
      <c r="K802" s="361">
        <f t="shared" si="126"/>
        <v>99.488165680473372</v>
      </c>
      <c r="L802" s="7"/>
      <c r="M802" s="7"/>
      <c r="N802" s="361"/>
      <c r="O802" s="95">
        <f t="shared" si="120"/>
        <v>67600</v>
      </c>
      <c r="P802" s="95">
        <f t="shared" si="121"/>
        <v>67254</v>
      </c>
      <c r="Q802" s="361">
        <f t="shared" si="125"/>
        <v>99.488165680473372</v>
      </c>
    </row>
    <row r="803" spans="2:17" x14ac:dyDescent="0.2">
      <c r="B803" s="18">
        <f t="shared" si="122"/>
        <v>308</v>
      </c>
      <c r="C803" s="3"/>
      <c r="D803" s="3"/>
      <c r="E803" s="3"/>
      <c r="F803" s="90" t="s">
        <v>119</v>
      </c>
      <c r="G803" s="2">
        <v>640</v>
      </c>
      <c r="H803" s="3" t="s">
        <v>129</v>
      </c>
      <c r="I803" s="4">
        <f>3000+946</f>
        <v>3946</v>
      </c>
      <c r="J803" s="4">
        <v>3946</v>
      </c>
      <c r="K803" s="361">
        <f t="shared" si="126"/>
        <v>100</v>
      </c>
      <c r="L803" s="4"/>
      <c r="M803" s="4"/>
      <c r="N803" s="361"/>
      <c r="O803" s="92">
        <f t="shared" si="120"/>
        <v>3946</v>
      </c>
      <c r="P803" s="92">
        <f t="shared" si="121"/>
        <v>3946</v>
      </c>
      <c r="Q803" s="361">
        <f t="shared" si="125"/>
        <v>100</v>
      </c>
    </row>
    <row r="804" spans="2:17" x14ac:dyDescent="0.2">
      <c r="B804" s="18">
        <f t="shared" si="122"/>
        <v>309</v>
      </c>
      <c r="C804" s="3"/>
      <c r="D804" s="3"/>
      <c r="E804" s="3"/>
      <c r="F804" s="90" t="s">
        <v>108</v>
      </c>
      <c r="G804" s="2">
        <v>610</v>
      </c>
      <c r="H804" s="3" t="s">
        <v>131</v>
      </c>
      <c r="I804" s="4">
        <f>788250+100+4500+47750-77</f>
        <v>840523</v>
      </c>
      <c r="J804" s="4">
        <v>833264</v>
      </c>
      <c r="K804" s="361">
        <f t="shared" si="126"/>
        <v>99.136371045170691</v>
      </c>
      <c r="L804" s="4"/>
      <c r="M804" s="4"/>
      <c r="N804" s="361"/>
      <c r="O804" s="92">
        <f t="shared" si="120"/>
        <v>840523</v>
      </c>
      <c r="P804" s="92">
        <f t="shared" si="121"/>
        <v>833264</v>
      </c>
      <c r="Q804" s="361">
        <f t="shared" si="125"/>
        <v>99.136371045170691</v>
      </c>
    </row>
    <row r="805" spans="2:17" x14ac:dyDescent="0.2">
      <c r="B805" s="18">
        <f t="shared" si="122"/>
        <v>310</v>
      </c>
      <c r="C805" s="3"/>
      <c r="D805" s="3"/>
      <c r="E805" s="3"/>
      <c r="F805" s="90" t="s">
        <v>108</v>
      </c>
      <c r="G805" s="2">
        <v>620</v>
      </c>
      <c r="H805" s="3" t="s">
        <v>124</v>
      </c>
      <c r="I805" s="4">
        <f>282680+35+14383+908</f>
        <v>298006</v>
      </c>
      <c r="J805" s="4">
        <v>295395</v>
      </c>
      <c r="K805" s="361">
        <f t="shared" si="126"/>
        <v>99.123843144097762</v>
      </c>
      <c r="L805" s="4"/>
      <c r="M805" s="4"/>
      <c r="N805" s="361"/>
      <c r="O805" s="92">
        <f t="shared" si="120"/>
        <v>298006</v>
      </c>
      <c r="P805" s="92">
        <f t="shared" si="121"/>
        <v>295395</v>
      </c>
      <c r="Q805" s="361">
        <f t="shared" si="125"/>
        <v>99.123843144097762</v>
      </c>
    </row>
    <row r="806" spans="2:17" x14ac:dyDescent="0.2">
      <c r="B806" s="18">
        <f t="shared" si="122"/>
        <v>311</v>
      </c>
      <c r="C806" s="3"/>
      <c r="D806" s="3"/>
      <c r="E806" s="3"/>
      <c r="F806" s="90" t="s">
        <v>108</v>
      </c>
      <c r="G806" s="2">
        <v>630</v>
      </c>
      <c r="H806" s="3" t="s">
        <v>121</v>
      </c>
      <c r="I806" s="4">
        <f>I813+I812+I811+I809+I808+I807+I810</f>
        <v>311662</v>
      </c>
      <c r="J806" s="4">
        <f>J813+J812+J811+J809+J808+J807+J810</f>
        <v>238456</v>
      </c>
      <c r="K806" s="361">
        <f t="shared" si="126"/>
        <v>76.511092144695212</v>
      </c>
      <c r="L806" s="4"/>
      <c r="M806" s="4"/>
      <c r="N806" s="361"/>
      <c r="O806" s="92">
        <f t="shared" si="120"/>
        <v>311662</v>
      </c>
      <c r="P806" s="92">
        <f t="shared" si="121"/>
        <v>238456</v>
      </c>
      <c r="Q806" s="361">
        <f t="shared" si="125"/>
        <v>76.511092144695212</v>
      </c>
    </row>
    <row r="807" spans="2:17" x14ac:dyDescent="0.2">
      <c r="B807" s="18">
        <f t="shared" si="122"/>
        <v>312</v>
      </c>
      <c r="C807" s="6"/>
      <c r="D807" s="6"/>
      <c r="E807" s="6"/>
      <c r="F807" s="93"/>
      <c r="G807" s="5">
        <v>631</v>
      </c>
      <c r="H807" s="6" t="s">
        <v>127</v>
      </c>
      <c r="I807" s="7">
        <f>300+481+3321</f>
        <v>4102</v>
      </c>
      <c r="J807" s="7">
        <v>4102</v>
      </c>
      <c r="K807" s="361">
        <f t="shared" si="126"/>
        <v>100</v>
      </c>
      <c r="L807" s="7"/>
      <c r="M807" s="7"/>
      <c r="N807" s="361"/>
      <c r="O807" s="95">
        <f t="shared" si="120"/>
        <v>4102</v>
      </c>
      <c r="P807" s="95">
        <f t="shared" si="121"/>
        <v>4102</v>
      </c>
      <c r="Q807" s="361">
        <f t="shared" si="125"/>
        <v>100</v>
      </c>
    </row>
    <row r="808" spans="2:17" x14ac:dyDescent="0.2">
      <c r="B808" s="18">
        <f t="shared" si="122"/>
        <v>313</v>
      </c>
      <c r="C808" s="6"/>
      <c r="D808" s="6"/>
      <c r="E808" s="6"/>
      <c r="F808" s="93"/>
      <c r="G808" s="5">
        <v>632</v>
      </c>
      <c r="H808" s="6" t="s">
        <v>134</v>
      </c>
      <c r="I808" s="7">
        <f>400+1500+7800+8000+50000+2500+500-18550-3000+8465</f>
        <v>57615</v>
      </c>
      <c r="J808" s="7">
        <v>42506</v>
      </c>
      <c r="K808" s="361">
        <f t="shared" si="126"/>
        <v>73.775926408053465</v>
      </c>
      <c r="L808" s="7"/>
      <c r="M808" s="7"/>
      <c r="N808" s="361"/>
      <c r="O808" s="95">
        <f t="shared" si="120"/>
        <v>57615</v>
      </c>
      <c r="P808" s="95">
        <f t="shared" si="121"/>
        <v>42506</v>
      </c>
      <c r="Q808" s="361">
        <f t="shared" si="125"/>
        <v>73.775926408053465</v>
      </c>
    </row>
    <row r="809" spans="2:17" x14ac:dyDescent="0.2">
      <c r="B809" s="18">
        <f t="shared" si="122"/>
        <v>314</v>
      </c>
      <c r="C809" s="6"/>
      <c r="D809" s="6"/>
      <c r="E809" s="6"/>
      <c r="F809" s="93"/>
      <c r="G809" s="5">
        <v>633</v>
      </c>
      <c r="H809" s="6" t="s">
        <v>125</v>
      </c>
      <c r="I809" s="7">
        <f>8144+1000+1000+1000+3000+500+400+250+61749</f>
        <v>77043</v>
      </c>
      <c r="J809" s="7">
        <v>61414</v>
      </c>
      <c r="K809" s="361">
        <f t="shared" si="126"/>
        <v>79.713925989382545</v>
      </c>
      <c r="L809" s="7"/>
      <c r="M809" s="7"/>
      <c r="N809" s="361"/>
      <c r="O809" s="95">
        <f t="shared" si="120"/>
        <v>77043</v>
      </c>
      <c r="P809" s="95">
        <f t="shared" si="121"/>
        <v>61414</v>
      </c>
      <c r="Q809" s="361">
        <f t="shared" si="125"/>
        <v>79.713925989382545</v>
      </c>
    </row>
    <row r="810" spans="2:17" x14ac:dyDescent="0.2">
      <c r="B810" s="18">
        <f t="shared" si="122"/>
        <v>315</v>
      </c>
      <c r="C810" s="6"/>
      <c r="D810" s="6"/>
      <c r="E810" s="6"/>
      <c r="F810" s="93"/>
      <c r="G810" s="5">
        <v>634</v>
      </c>
      <c r="H810" s="6" t="s">
        <v>132</v>
      </c>
      <c r="I810" s="7">
        <v>500</v>
      </c>
      <c r="J810" s="7">
        <v>500</v>
      </c>
      <c r="K810" s="361">
        <f t="shared" si="126"/>
        <v>100</v>
      </c>
      <c r="L810" s="7"/>
      <c r="M810" s="7"/>
      <c r="N810" s="361"/>
      <c r="O810" s="95"/>
      <c r="P810" s="95">
        <f t="shared" ref="P810:P851" si="127">J810+M810</f>
        <v>500</v>
      </c>
      <c r="Q810" s="361"/>
    </row>
    <row r="811" spans="2:17" s="122" customFormat="1" x14ac:dyDescent="0.2">
      <c r="B811" s="18">
        <f t="shared" si="122"/>
        <v>316</v>
      </c>
      <c r="C811" s="6"/>
      <c r="D811" s="6"/>
      <c r="E811" s="6"/>
      <c r="F811" s="93"/>
      <c r="G811" s="5">
        <v>635</v>
      </c>
      <c r="H811" s="6" t="s">
        <v>133</v>
      </c>
      <c r="I811" s="7">
        <f>10000+16133+28917</f>
        <v>55050</v>
      </c>
      <c r="J811" s="7">
        <v>45724</v>
      </c>
      <c r="K811" s="361">
        <f t="shared" si="126"/>
        <v>83.059037238873756</v>
      </c>
      <c r="L811" s="7"/>
      <c r="M811" s="7"/>
      <c r="N811" s="361"/>
      <c r="O811" s="95">
        <f t="shared" ref="O811:O851" si="128">I811+L811</f>
        <v>55050</v>
      </c>
      <c r="P811" s="95">
        <f t="shared" si="127"/>
        <v>45724</v>
      </c>
      <c r="Q811" s="361">
        <f t="shared" ref="Q811:Q842" si="129">P811/O811*100</f>
        <v>83.059037238873756</v>
      </c>
    </row>
    <row r="812" spans="2:17" s="122" customFormat="1" x14ac:dyDescent="0.2">
      <c r="B812" s="18">
        <f t="shared" si="122"/>
        <v>317</v>
      </c>
      <c r="C812" s="6"/>
      <c r="D812" s="6"/>
      <c r="E812" s="6"/>
      <c r="F812" s="93"/>
      <c r="G812" s="5">
        <v>636</v>
      </c>
      <c r="H812" s="6" t="s">
        <v>126</v>
      </c>
      <c r="I812" s="7">
        <f>5000-4500+360</f>
        <v>860</v>
      </c>
      <c r="J812" s="7">
        <v>848</v>
      </c>
      <c r="K812" s="361">
        <f t="shared" si="126"/>
        <v>98.604651162790702</v>
      </c>
      <c r="L812" s="7"/>
      <c r="M812" s="7"/>
      <c r="N812" s="361"/>
      <c r="O812" s="95">
        <f t="shared" si="128"/>
        <v>860</v>
      </c>
      <c r="P812" s="95">
        <f t="shared" si="127"/>
        <v>848</v>
      </c>
      <c r="Q812" s="361">
        <f t="shared" si="129"/>
        <v>98.604651162790702</v>
      </c>
    </row>
    <row r="813" spans="2:17" x14ac:dyDescent="0.2">
      <c r="B813" s="18">
        <f t="shared" si="122"/>
        <v>318</v>
      </c>
      <c r="C813" s="6"/>
      <c r="D813" s="6"/>
      <c r="E813" s="6"/>
      <c r="F813" s="93"/>
      <c r="G813" s="5">
        <v>637</v>
      </c>
      <c r="H813" s="6" t="s">
        <v>122</v>
      </c>
      <c r="I813" s="7">
        <f>370+6050+5250+200+8000+1500+4700+2500+2000+600+1000+10000+480+16159+57133+550</f>
        <v>116492</v>
      </c>
      <c r="J813" s="7">
        <v>83362</v>
      </c>
      <c r="K813" s="361">
        <f t="shared" si="126"/>
        <v>71.56027881742952</v>
      </c>
      <c r="L813" s="7"/>
      <c r="M813" s="7"/>
      <c r="N813" s="361"/>
      <c r="O813" s="95">
        <f t="shared" si="128"/>
        <v>116492</v>
      </c>
      <c r="P813" s="95">
        <f t="shared" si="127"/>
        <v>83362</v>
      </c>
      <c r="Q813" s="361">
        <f t="shared" si="129"/>
        <v>71.56027881742952</v>
      </c>
    </row>
    <row r="814" spans="2:17" x14ac:dyDescent="0.2">
      <c r="B814" s="18">
        <f t="shared" si="122"/>
        <v>319</v>
      </c>
      <c r="C814" s="3"/>
      <c r="D814" s="3"/>
      <c r="E814" s="3"/>
      <c r="F814" s="90" t="s">
        <v>108</v>
      </c>
      <c r="G814" s="2">
        <v>640</v>
      </c>
      <c r="H814" s="3" t="s">
        <v>129</v>
      </c>
      <c r="I814" s="4">
        <f>3000+45776-10844-29</f>
        <v>37903</v>
      </c>
      <c r="J814" s="4">
        <v>29057</v>
      </c>
      <c r="K814" s="361">
        <f t="shared" si="126"/>
        <v>76.661477983273102</v>
      </c>
      <c r="L814" s="4"/>
      <c r="M814" s="4"/>
      <c r="N814" s="361"/>
      <c r="O814" s="92">
        <f t="shared" si="128"/>
        <v>37903</v>
      </c>
      <c r="P814" s="92">
        <f t="shared" si="127"/>
        <v>29057</v>
      </c>
      <c r="Q814" s="361">
        <f t="shared" si="129"/>
        <v>76.661477983273102</v>
      </c>
    </row>
    <row r="815" spans="2:17" x14ac:dyDescent="0.2">
      <c r="B815" s="18">
        <f t="shared" si="122"/>
        <v>320</v>
      </c>
      <c r="C815" s="3"/>
      <c r="D815" s="3"/>
      <c r="E815" s="3"/>
      <c r="F815" s="90"/>
      <c r="G815" s="2">
        <v>600</v>
      </c>
      <c r="H815" s="3" t="s">
        <v>625</v>
      </c>
      <c r="I815" s="4">
        <v>36887</v>
      </c>
      <c r="J815" s="4">
        <v>36887</v>
      </c>
      <c r="K815" s="361">
        <f t="shared" si="126"/>
        <v>100</v>
      </c>
      <c r="L815" s="4"/>
      <c r="M815" s="4"/>
      <c r="N815" s="361"/>
      <c r="O815" s="92">
        <f t="shared" si="128"/>
        <v>36887</v>
      </c>
      <c r="P815" s="92">
        <f t="shared" si="127"/>
        <v>36887</v>
      </c>
      <c r="Q815" s="361">
        <f t="shared" si="129"/>
        <v>100</v>
      </c>
    </row>
    <row r="816" spans="2:17" x14ac:dyDescent="0.2">
      <c r="B816" s="18">
        <f t="shared" si="122"/>
        <v>321</v>
      </c>
      <c r="C816" s="3"/>
      <c r="D816" s="3"/>
      <c r="E816" s="3"/>
      <c r="F816" s="90" t="s">
        <v>75</v>
      </c>
      <c r="G816" s="2">
        <v>640</v>
      </c>
      <c r="H816" s="3" t="s">
        <v>129</v>
      </c>
      <c r="I816" s="4">
        <v>17</v>
      </c>
      <c r="J816" s="4">
        <v>17</v>
      </c>
      <c r="K816" s="361">
        <f t="shared" si="126"/>
        <v>100</v>
      </c>
      <c r="L816" s="4"/>
      <c r="M816" s="4"/>
      <c r="N816" s="361"/>
      <c r="O816" s="92">
        <f t="shared" si="128"/>
        <v>17</v>
      </c>
      <c r="P816" s="92">
        <f t="shared" si="127"/>
        <v>17</v>
      </c>
      <c r="Q816" s="361">
        <f t="shared" si="129"/>
        <v>100</v>
      </c>
    </row>
    <row r="817" spans="2:17" x14ac:dyDescent="0.2">
      <c r="B817" s="18">
        <f t="shared" ref="B817:B880" si="130">B816+1</f>
        <v>322</v>
      </c>
      <c r="C817" s="3"/>
      <c r="D817" s="3"/>
      <c r="E817" s="3"/>
      <c r="F817" s="90" t="s">
        <v>108</v>
      </c>
      <c r="G817" s="2">
        <v>710</v>
      </c>
      <c r="H817" s="3" t="s">
        <v>175</v>
      </c>
      <c r="I817" s="4"/>
      <c r="J817" s="4"/>
      <c r="K817" s="361"/>
      <c r="L817" s="4">
        <f>L818+L820</f>
        <v>76990</v>
      </c>
      <c r="M817" s="4">
        <f>M818+M820</f>
        <v>75975</v>
      </c>
      <c r="N817" s="361">
        <f t="shared" ref="N817:N823" si="131">M817/L817*100</f>
        <v>98.68164696713859</v>
      </c>
      <c r="O817" s="92">
        <f t="shared" si="128"/>
        <v>76990</v>
      </c>
      <c r="P817" s="92">
        <f t="shared" si="127"/>
        <v>75975</v>
      </c>
      <c r="Q817" s="361">
        <f t="shared" si="129"/>
        <v>98.68164696713859</v>
      </c>
    </row>
    <row r="818" spans="2:17" x14ac:dyDescent="0.2">
      <c r="B818" s="18">
        <f t="shared" si="130"/>
        <v>323</v>
      </c>
      <c r="C818" s="6"/>
      <c r="D818" s="6"/>
      <c r="E818" s="6"/>
      <c r="F818" s="93"/>
      <c r="G818" s="5">
        <v>716</v>
      </c>
      <c r="H818" s="6" t="s">
        <v>215</v>
      </c>
      <c r="I818" s="7"/>
      <c r="J818" s="7"/>
      <c r="K818" s="361"/>
      <c r="L818" s="7">
        <f>L819</f>
        <v>38000</v>
      </c>
      <c r="M818" s="7">
        <f>M819</f>
        <v>36996</v>
      </c>
      <c r="N818" s="361">
        <f t="shared" si="131"/>
        <v>97.357894736842113</v>
      </c>
      <c r="O818" s="95">
        <f t="shared" si="128"/>
        <v>38000</v>
      </c>
      <c r="P818" s="95">
        <f t="shared" si="127"/>
        <v>36996</v>
      </c>
      <c r="Q818" s="361">
        <f t="shared" si="129"/>
        <v>97.357894736842113</v>
      </c>
    </row>
    <row r="819" spans="2:17" x14ac:dyDescent="0.2">
      <c r="B819" s="18">
        <f t="shared" si="130"/>
        <v>324</v>
      </c>
      <c r="C819" s="9"/>
      <c r="D819" s="9"/>
      <c r="E819" s="9"/>
      <c r="F819" s="194"/>
      <c r="G819" s="106"/>
      <c r="H819" s="9" t="s">
        <v>407</v>
      </c>
      <c r="I819" s="10"/>
      <c r="J819" s="10"/>
      <c r="K819" s="361"/>
      <c r="L819" s="10">
        <v>38000</v>
      </c>
      <c r="M819" s="10">
        <v>36996</v>
      </c>
      <c r="N819" s="361">
        <f t="shared" si="131"/>
        <v>97.357894736842113</v>
      </c>
      <c r="O819" s="108">
        <f t="shared" si="128"/>
        <v>38000</v>
      </c>
      <c r="P819" s="108">
        <f t="shared" si="127"/>
        <v>36996</v>
      </c>
      <c r="Q819" s="361">
        <f t="shared" si="129"/>
        <v>97.357894736842113</v>
      </c>
    </row>
    <row r="820" spans="2:17" x14ac:dyDescent="0.2">
      <c r="B820" s="18">
        <f t="shared" si="130"/>
        <v>325</v>
      </c>
      <c r="C820" s="9"/>
      <c r="D820" s="9"/>
      <c r="E820" s="9"/>
      <c r="F820" s="194"/>
      <c r="G820" s="5">
        <v>717</v>
      </c>
      <c r="H820" s="6" t="s">
        <v>182</v>
      </c>
      <c r="I820" s="7"/>
      <c r="J820" s="7"/>
      <c r="K820" s="361"/>
      <c r="L820" s="7">
        <f>L821+L822</f>
        <v>38990</v>
      </c>
      <c r="M820" s="7">
        <f>M821+M822</f>
        <v>38979</v>
      </c>
      <c r="N820" s="361">
        <f t="shared" si="131"/>
        <v>99.971787637855854</v>
      </c>
      <c r="O820" s="95">
        <f t="shared" si="128"/>
        <v>38990</v>
      </c>
      <c r="P820" s="95">
        <f t="shared" si="127"/>
        <v>38979</v>
      </c>
      <c r="Q820" s="361">
        <f t="shared" si="129"/>
        <v>99.971787637855854</v>
      </c>
    </row>
    <row r="821" spans="2:17" x14ac:dyDescent="0.2">
      <c r="B821" s="18">
        <f t="shared" si="130"/>
        <v>326</v>
      </c>
      <c r="C821" s="9"/>
      <c r="D821" s="9"/>
      <c r="E821" s="9"/>
      <c r="F821" s="194"/>
      <c r="G821" s="106"/>
      <c r="H821" s="9" t="s">
        <v>559</v>
      </c>
      <c r="I821" s="10"/>
      <c r="J821" s="10"/>
      <c r="K821" s="361"/>
      <c r="L821" s="10">
        <v>25990</v>
      </c>
      <c r="M821" s="10">
        <v>25983</v>
      </c>
      <c r="N821" s="361">
        <f t="shared" si="131"/>
        <v>99.973066564063103</v>
      </c>
      <c r="O821" s="108">
        <f t="shared" si="128"/>
        <v>25990</v>
      </c>
      <c r="P821" s="108">
        <f t="shared" si="127"/>
        <v>25983</v>
      </c>
      <c r="Q821" s="361">
        <f t="shared" si="129"/>
        <v>99.973066564063103</v>
      </c>
    </row>
    <row r="822" spans="2:17" x14ac:dyDescent="0.2">
      <c r="B822" s="18">
        <f t="shared" si="130"/>
        <v>327</v>
      </c>
      <c r="C822" s="9"/>
      <c r="D822" s="9"/>
      <c r="E822" s="9"/>
      <c r="F822" s="194"/>
      <c r="G822" s="106"/>
      <c r="H822" s="9" t="s">
        <v>632</v>
      </c>
      <c r="I822" s="10"/>
      <c r="J822" s="10"/>
      <c r="K822" s="361"/>
      <c r="L822" s="10">
        <v>13000</v>
      </c>
      <c r="M822" s="10">
        <v>12996</v>
      </c>
      <c r="N822" s="361">
        <f t="shared" si="131"/>
        <v>99.969230769230762</v>
      </c>
      <c r="O822" s="108">
        <f t="shared" si="128"/>
        <v>13000</v>
      </c>
      <c r="P822" s="108">
        <f t="shared" si="127"/>
        <v>12996</v>
      </c>
      <c r="Q822" s="361">
        <f t="shared" si="129"/>
        <v>99.969230769230762</v>
      </c>
    </row>
    <row r="823" spans="2:17" ht="15" x14ac:dyDescent="0.25">
      <c r="B823" s="18">
        <f t="shared" si="130"/>
        <v>328</v>
      </c>
      <c r="C823" s="176"/>
      <c r="D823" s="176"/>
      <c r="E823" s="176">
        <v>10</v>
      </c>
      <c r="F823" s="177"/>
      <c r="G823" s="177"/>
      <c r="H823" s="176" t="s">
        <v>0</v>
      </c>
      <c r="I823" s="178">
        <f>I824+I825+I826+I833+I834+I836+I844+I835+I845+I846</f>
        <v>1724446</v>
      </c>
      <c r="J823" s="178">
        <f>J824+J825+J826+J833+J834+J836+J844+J835+J845+J846</f>
        <v>1612040</v>
      </c>
      <c r="K823" s="361">
        <f t="shared" ref="K823:K846" si="132">J823/I823*100</f>
        <v>93.481616704727202</v>
      </c>
      <c r="L823" s="178">
        <f>L847</f>
        <v>107310</v>
      </c>
      <c r="M823" s="178">
        <f>M847</f>
        <v>8747</v>
      </c>
      <c r="N823" s="361">
        <f t="shared" si="131"/>
        <v>8.1511508713074274</v>
      </c>
      <c r="O823" s="179">
        <f t="shared" si="128"/>
        <v>1831756</v>
      </c>
      <c r="P823" s="179">
        <f t="shared" si="127"/>
        <v>1620787</v>
      </c>
      <c r="Q823" s="361">
        <f t="shared" si="129"/>
        <v>88.482690926084047</v>
      </c>
    </row>
    <row r="824" spans="2:17" x14ac:dyDescent="0.2">
      <c r="B824" s="18">
        <f t="shared" si="130"/>
        <v>329</v>
      </c>
      <c r="C824" s="3"/>
      <c r="D824" s="3"/>
      <c r="E824" s="3"/>
      <c r="F824" s="90" t="s">
        <v>119</v>
      </c>
      <c r="G824" s="2">
        <v>610</v>
      </c>
      <c r="H824" s="3" t="s">
        <v>131</v>
      </c>
      <c r="I824" s="4">
        <f>275400+14828-525-500+17811</f>
        <v>307014</v>
      </c>
      <c r="J824" s="4">
        <v>307014</v>
      </c>
      <c r="K824" s="361">
        <f t="shared" si="132"/>
        <v>100</v>
      </c>
      <c r="L824" s="4"/>
      <c r="M824" s="4"/>
      <c r="N824" s="361"/>
      <c r="O824" s="92">
        <f t="shared" si="128"/>
        <v>307014</v>
      </c>
      <c r="P824" s="92">
        <f t="shared" si="127"/>
        <v>307014</v>
      </c>
      <c r="Q824" s="361">
        <f t="shared" si="129"/>
        <v>100</v>
      </c>
    </row>
    <row r="825" spans="2:17" x14ac:dyDescent="0.2">
      <c r="B825" s="18">
        <f t="shared" si="130"/>
        <v>330</v>
      </c>
      <c r="C825" s="3"/>
      <c r="D825" s="3"/>
      <c r="E825" s="3"/>
      <c r="F825" s="90" t="s">
        <v>119</v>
      </c>
      <c r="G825" s="2">
        <v>620</v>
      </c>
      <c r="H825" s="3" t="s">
        <v>124</v>
      </c>
      <c r="I825" s="4">
        <f>9910+3300+15690+2645+3000+46245+4625+5500+5500+22050-8970+9484</f>
        <v>118979</v>
      </c>
      <c r="J825" s="4">
        <v>118979</v>
      </c>
      <c r="K825" s="361">
        <f t="shared" si="132"/>
        <v>100</v>
      </c>
      <c r="L825" s="4"/>
      <c r="M825" s="4"/>
      <c r="N825" s="361"/>
      <c r="O825" s="92">
        <f t="shared" si="128"/>
        <v>118979</v>
      </c>
      <c r="P825" s="92">
        <f t="shared" si="127"/>
        <v>118979</v>
      </c>
      <c r="Q825" s="361">
        <f t="shared" si="129"/>
        <v>100</v>
      </c>
    </row>
    <row r="826" spans="2:17" s="122" customFormat="1" x14ac:dyDescent="0.2">
      <c r="B826" s="18">
        <f t="shared" si="130"/>
        <v>331</v>
      </c>
      <c r="C826" s="3"/>
      <c r="D826" s="3"/>
      <c r="E826" s="3"/>
      <c r="F826" s="90" t="s">
        <v>119</v>
      </c>
      <c r="G826" s="2">
        <v>630</v>
      </c>
      <c r="H826" s="3" t="s">
        <v>121</v>
      </c>
      <c r="I826" s="4">
        <f>SUM(I827:I832)</f>
        <v>97306</v>
      </c>
      <c r="J826" s="4">
        <f>SUM(J827:J832)</f>
        <v>82431</v>
      </c>
      <c r="K826" s="361">
        <f t="shared" si="132"/>
        <v>84.713172877314861</v>
      </c>
      <c r="L826" s="4"/>
      <c r="M826" s="4"/>
      <c r="N826" s="361"/>
      <c r="O826" s="92">
        <f t="shared" si="128"/>
        <v>97306</v>
      </c>
      <c r="P826" s="92">
        <f t="shared" si="127"/>
        <v>82431</v>
      </c>
      <c r="Q826" s="361">
        <f t="shared" si="129"/>
        <v>84.713172877314861</v>
      </c>
    </row>
    <row r="827" spans="2:17" x14ac:dyDescent="0.2">
      <c r="B827" s="18">
        <f t="shared" si="130"/>
        <v>332</v>
      </c>
      <c r="C827" s="6"/>
      <c r="D827" s="6"/>
      <c r="E827" s="6"/>
      <c r="F827" s="93"/>
      <c r="G827" s="5">
        <v>631</v>
      </c>
      <c r="H827" s="6" t="s">
        <v>127</v>
      </c>
      <c r="I827" s="7">
        <v>100</v>
      </c>
      <c r="J827" s="7">
        <v>20</v>
      </c>
      <c r="K827" s="361">
        <f t="shared" si="132"/>
        <v>20</v>
      </c>
      <c r="L827" s="7"/>
      <c r="M827" s="7"/>
      <c r="N827" s="361"/>
      <c r="O827" s="95">
        <f t="shared" si="128"/>
        <v>100</v>
      </c>
      <c r="P827" s="95">
        <f t="shared" si="127"/>
        <v>20</v>
      </c>
      <c r="Q827" s="361">
        <f t="shared" si="129"/>
        <v>20</v>
      </c>
    </row>
    <row r="828" spans="2:17" x14ac:dyDescent="0.2">
      <c r="B828" s="18">
        <f t="shared" si="130"/>
        <v>333</v>
      </c>
      <c r="C828" s="6"/>
      <c r="D828" s="6"/>
      <c r="E828" s="6"/>
      <c r="F828" s="93"/>
      <c r="G828" s="5">
        <v>632</v>
      </c>
      <c r="H828" s="6" t="s">
        <v>134</v>
      </c>
      <c r="I828" s="7">
        <f>37720-5075+2572</f>
        <v>35217</v>
      </c>
      <c r="J828" s="7">
        <v>27686</v>
      </c>
      <c r="K828" s="361">
        <f t="shared" si="132"/>
        <v>78.615441406139084</v>
      </c>
      <c r="L828" s="7"/>
      <c r="M828" s="7"/>
      <c r="N828" s="361"/>
      <c r="O828" s="95">
        <f t="shared" si="128"/>
        <v>35217</v>
      </c>
      <c r="P828" s="95">
        <f t="shared" si="127"/>
        <v>27686</v>
      </c>
      <c r="Q828" s="361">
        <f t="shared" si="129"/>
        <v>78.615441406139084</v>
      </c>
    </row>
    <row r="829" spans="2:17" x14ac:dyDescent="0.2">
      <c r="B829" s="18">
        <f t="shared" si="130"/>
        <v>334</v>
      </c>
      <c r="C829" s="6"/>
      <c r="D829" s="6"/>
      <c r="E829" s="6"/>
      <c r="F829" s="93"/>
      <c r="G829" s="5">
        <v>633</v>
      </c>
      <c r="H829" s="6" t="s">
        <v>125</v>
      </c>
      <c r="I829" s="7">
        <f>1500+1000+400+500+600+500+100+500-30+15433-58</f>
        <v>20445</v>
      </c>
      <c r="J829" s="7">
        <v>14582</v>
      </c>
      <c r="K829" s="361">
        <f t="shared" si="132"/>
        <v>71.323061873318665</v>
      </c>
      <c r="L829" s="7"/>
      <c r="M829" s="7"/>
      <c r="N829" s="361"/>
      <c r="O829" s="95">
        <f t="shared" si="128"/>
        <v>20445</v>
      </c>
      <c r="P829" s="95">
        <f t="shared" si="127"/>
        <v>14582</v>
      </c>
      <c r="Q829" s="361">
        <f t="shared" si="129"/>
        <v>71.323061873318665</v>
      </c>
    </row>
    <row r="830" spans="2:17" x14ac:dyDescent="0.2">
      <c r="B830" s="18">
        <f t="shared" si="130"/>
        <v>335</v>
      </c>
      <c r="C830" s="6"/>
      <c r="D830" s="6"/>
      <c r="E830" s="6"/>
      <c r="F830" s="93"/>
      <c r="G830" s="5">
        <v>634</v>
      </c>
      <c r="H830" s="6" t="s">
        <v>132</v>
      </c>
      <c r="I830" s="7">
        <f>1500+30</f>
        <v>1530</v>
      </c>
      <c r="J830" s="7">
        <v>1379</v>
      </c>
      <c r="K830" s="361">
        <f t="shared" si="132"/>
        <v>90.130718954248366</v>
      </c>
      <c r="L830" s="7"/>
      <c r="M830" s="7"/>
      <c r="N830" s="361"/>
      <c r="O830" s="95">
        <f t="shared" si="128"/>
        <v>1530</v>
      </c>
      <c r="P830" s="95">
        <f t="shared" si="127"/>
        <v>1379</v>
      </c>
      <c r="Q830" s="361">
        <f t="shared" si="129"/>
        <v>90.130718954248366</v>
      </c>
    </row>
    <row r="831" spans="2:17" x14ac:dyDescent="0.2">
      <c r="B831" s="18">
        <f t="shared" si="130"/>
        <v>336</v>
      </c>
      <c r="C831" s="6"/>
      <c r="D831" s="6"/>
      <c r="E831" s="6"/>
      <c r="F831" s="93"/>
      <c r="G831" s="5">
        <v>635</v>
      </c>
      <c r="H831" s="6" t="s">
        <v>133</v>
      </c>
      <c r="I831" s="7">
        <f>100+200+1000+11303</f>
        <v>12603</v>
      </c>
      <c r="J831" s="7">
        <v>12603</v>
      </c>
      <c r="K831" s="361">
        <f t="shared" si="132"/>
        <v>100</v>
      </c>
      <c r="L831" s="7"/>
      <c r="M831" s="7"/>
      <c r="N831" s="361"/>
      <c r="O831" s="95">
        <f t="shared" si="128"/>
        <v>12603</v>
      </c>
      <c r="P831" s="95">
        <f t="shared" si="127"/>
        <v>12603</v>
      </c>
      <c r="Q831" s="361">
        <f t="shared" si="129"/>
        <v>100</v>
      </c>
    </row>
    <row r="832" spans="2:17" x14ac:dyDescent="0.2">
      <c r="B832" s="18">
        <f t="shared" si="130"/>
        <v>337</v>
      </c>
      <c r="C832" s="6"/>
      <c r="D832" s="6"/>
      <c r="E832" s="6"/>
      <c r="F832" s="93"/>
      <c r="G832" s="5">
        <v>637</v>
      </c>
      <c r="H832" s="6" t="s">
        <v>122</v>
      </c>
      <c r="I832" s="7">
        <f>3500+600+1500+700+3500+1000+560+300+1500+500+5075+8676</f>
        <v>27411</v>
      </c>
      <c r="J832" s="7">
        <v>26161</v>
      </c>
      <c r="K832" s="361">
        <f t="shared" si="132"/>
        <v>95.439786946846155</v>
      </c>
      <c r="L832" s="7"/>
      <c r="M832" s="7"/>
      <c r="N832" s="361"/>
      <c r="O832" s="95">
        <f t="shared" si="128"/>
        <v>27411</v>
      </c>
      <c r="P832" s="95">
        <f t="shared" si="127"/>
        <v>26161</v>
      </c>
      <c r="Q832" s="361">
        <f t="shared" si="129"/>
        <v>95.439786946846155</v>
      </c>
    </row>
    <row r="833" spans="2:17" x14ac:dyDescent="0.2">
      <c r="B833" s="18">
        <f t="shared" si="130"/>
        <v>338</v>
      </c>
      <c r="C833" s="3"/>
      <c r="D833" s="3"/>
      <c r="E833" s="3"/>
      <c r="F833" s="90" t="s">
        <v>119</v>
      </c>
      <c r="G833" s="2">
        <v>640</v>
      </c>
      <c r="H833" s="3" t="s">
        <v>129</v>
      </c>
      <c r="I833" s="4">
        <f>500+8265+525+500-8629+6</f>
        <v>1167</v>
      </c>
      <c r="J833" s="4">
        <v>1166</v>
      </c>
      <c r="K833" s="361">
        <f t="shared" si="132"/>
        <v>99.914310197086536</v>
      </c>
      <c r="L833" s="4"/>
      <c r="M833" s="4"/>
      <c r="N833" s="361"/>
      <c r="O833" s="92">
        <f t="shared" si="128"/>
        <v>1167</v>
      </c>
      <c r="P833" s="92">
        <f t="shared" si="127"/>
        <v>1166</v>
      </c>
      <c r="Q833" s="361">
        <f t="shared" si="129"/>
        <v>99.914310197086536</v>
      </c>
    </row>
    <row r="834" spans="2:17" x14ac:dyDescent="0.2">
      <c r="B834" s="18">
        <f t="shared" si="130"/>
        <v>339</v>
      </c>
      <c r="C834" s="3"/>
      <c r="D834" s="3"/>
      <c r="E834" s="3"/>
      <c r="F834" s="90" t="s">
        <v>108</v>
      </c>
      <c r="G834" s="2">
        <v>610</v>
      </c>
      <c r="H834" s="3" t="s">
        <v>131</v>
      </c>
      <c r="I834" s="4">
        <f>654915+100-6535-50489-2265+7097+243</f>
        <v>603066</v>
      </c>
      <c r="J834" s="4">
        <v>602396</v>
      </c>
      <c r="K834" s="361">
        <f t="shared" si="132"/>
        <v>99.888901048973082</v>
      </c>
      <c r="L834" s="4"/>
      <c r="M834" s="4"/>
      <c r="N834" s="361"/>
      <c r="O834" s="92">
        <f t="shared" si="128"/>
        <v>603066</v>
      </c>
      <c r="P834" s="92">
        <f t="shared" si="127"/>
        <v>602396</v>
      </c>
      <c r="Q834" s="361">
        <f t="shared" si="129"/>
        <v>99.888901048973082</v>
      </c>
    </row>
    <row r="835" spans="2:17" x14ac:dyDescent="0.2">
      <c r="B835" s="18">
        <f t="shared" si="130"/>
        <v>340</v>
      </c>
      <c r="C835" s="3"/>
      <c r="D835" s="3"/>
      <c r="E835" s="3"/>
      <c r="F835" s="90" t="s">
        <v>108</v>
      </c>
      <c r="G835" s="2">
        <v>620</v>
      </c>
      <c r="H835" s="3" t="s">
        <v>124</v>
      </c>
      <c r="I835" s="4">
        <f>241424+35-2350-25400+13482+88</f>
        <v>227279</v>
      </c>
      <c r="J835" s="4">
        <v>227279</v>
      </c>
      <c r="K835" s="361">
        <f t="shared" si="132"/>
        <v>100</v>
      </c>
      <c r="L835" s="4"/>
      <c r="M835" s="4"/>
      <c r="N835" s="361"/>
      <c r="O835" s="92">
        <f t="shared" si="128"/>
        <v>227279</v>
      </c>
      <c r="P835" s="92">
        <f t="shared" si="127"/>
        <v>227279</v>
      </c>
      <c r="Q835" s="361">
        <f t="shared" si="129"/>
        <v>100</v>
      </c>
    </row>
    <row r="836" spans="2:17" x14ac:dyDescent="0.2">
      <c r="B836" s="18">
        <f t="shared" si="130"/>
        <v>341</v>
      </c>
      <c r="C836" s="3"/>
      <c r="D836" s="3"/>
      <c r="E836" s="3"/>
      <c r="F836" s="90" t="s">
        <v>108</v>
      </c>
      <c r="G836" s="2">
        <v>630</v>
      </c>
      <c r="H836" s="3" t="s">
        <v>121</v>
      </c>
      <c r="I836" s="4">
        <f>I843+I841+I839+I838+I837+I842+I840</f>
        <v>226143</v>
      </c>
      <c r="J836" s="4">
        <f>J843+J841+J839+J838+J837+J842+J840</f>
        <v>129183</v>
      </c>
      <c r="K836" s="361">
        <f t="shared" si="132"/>
        <v>57.124474337034535</v>
      </c>
      <c r="L836" s="4"/>
      <c r="M836" s="4"/>
      <c r="N836" s="361"/>
      <c r="O836" s="92">
        <f t="shared" si="128"/>
        <v>226143</v>
      </c>
      <c r="P836" s="92">
        <f t="shared" si="127"/>
        <v>129183</v>
      </c>
      <c r="Q836" s="361">
        <f t="shared" si="129"/>
        <v>57.124474337034535</v>
      </c>
    </row>
    <row r="837" spans="2:17" x14ac:dyDescent="0.2">
      <c r="B837" s="18">
        <f t="shared" si="130"/>
        <v>342</v>
      </c>
      <c r="C837" s="6"/>
      <c r="D837" s="6"/>
      <c r="E837" s="6"/>
      <c r="F837" s="93"/>
      <c r="G837" s="5">
        <v>631</v>
      </c>
      <c r="H837" s="6" t="s">
        <v>127</v>
      </c>
      <c r="I837" s="7">
        <v>100</v>
      </c>
      <c r="J837" s="7">
        <v>20</v>
      </c>
      <c r="K837" s="361">
        <f t="shared" si="132"/>
        <v>20</v>
      </c>
      <c r="L837" s="7"/>
      <c r="M837" s="7"/>
      <c r="N837" s="361"/>
      <c r="O837" s="95">
        <f t="shared" si="128"/>
        <v>100</v>
      </c>
      <c r="P837" s="95">
        <f t="shared" si="127"/>
        <v>20</v>
      </c>
      <c r="Q837" s="361">
        <f t="shared" si="129"/>
        <v>20</v>
      </c>
    </row>
    <row r="838" spans="2:17" x14ac:dyDescent="0.2">
      <c r="B838" s="18">
        <f t="shared" si="130"/>
        <v>343</v>
      </c>
      <c r="C838" s="6"/>
      <c r="D838" s="6"/>
      <c r="E838" s="6"/>
      <c r="F838" s="93"/>
      <c r="G838" s="5">
        <v>632</v>
      </c>
      <c r="H838" s="6" t="s">
        <v>134</v>
      </c>
      <c r="I838" s="7">
        <f>1000+100+70000+10000+30000+4000+7100+120-7000-2100+74-7000+6000+2572</f>
        <v>114866</v>
      </c>
      <c r="J838" s="7">
        <v>38410</v>
      </c>
      <c r="K838" s="361">
        <f t="shared" si="132"/>
        <v>33.438963662006167</v>
      </c>
      <c r="L838" s="7"/>
      <c r="M838" s="7"/>
      <c r="N838" s="361"/>
      <c r="O838" s="95">
        <f t="shared" si="128"/>
        <v>114866</v>
      </c>
      <c r="P838" s="95">
        <f t="shared" si="127"/>
        <v>38410</v>
      </c>
      <c r="Q838" s="361">
        <f t="shared" si="129"/>
        <v>33.438963662006167</v>
      </c>
    </row>
    <row r="839" spans="2:17" x14ac:dyDescent="0.2">
      <c r="B839" s="18">
        <f t="shared" si="130"/>
        <v>344</v>
      </c>
      <c r="C839" s="6"/>
      <c r="D839" s="6"/>
      <c r="E839" s="6"/>
      <c r="F839" s="93"/>
      <c r="G839" s="5">
        <v>633</v>
      </c>
      <c r="H839" s="6" t="s">
        <v>125</v>
      </c>
      <c r="I839" s="7">
        <f>22256+300-2959+2069+23495</f>
        <v>45161</v>
      </c>
      <c r="J839" s="7">
        <v>36440</v>
      </c>
      <c r="K839" s="361">
        <f t="shared" si="132"/>
        <v>80.689090144150924</v>
      </c>
      <c r="L839" s="7"/>
      <c r="M839" s="7"/>
      <c r="N839" s="361"/>
      <c r="O839" s="95">
        <f t="shared" si="128"/>
        <v>45161</v>
      </c>
      <c r="P839" s="95">
        <f t="shared" si="127"/>
        <v>36440</v>
      </c>
      <c r="Q839" s="361">
        <f t="shared" si="129"/>
        <v>80.689090144150924</v>
      </c>
    </row>
    <row r="840" spans="2:17" x14ac:dyDescent="0.2">
      <c r="B840" s="18">
        <f t="shared" si="130"/>
        <v>345</v>
      </c>
      <c r="C840" s="6"/>
      <c r="D840" s="6"/>
      <c r="E840" s="6"/>
      <c r="F840" s="93"/>
      <c r="G840" s="5">
        <v>634</v>
      </c>
      <c r="H840" s="6" t="s">
        <v>132</v>
      </c>
      <c r="I840" s="7">
        <f>20+30</f>
        <v>50</v>
      </c>
      <c r="J840" s="7">
        <v>42</v>
      </c>
      <c r="K840" s="361">
        <f t="shared" si="132"/>
        <v>84</v>
      </c>
      <c r="L840" s="7"/>
      <c r="M840" s="7"/>
      <c r="N840" s="361"/>
      <c r="O840" s="95">
        <f t="shared" si="128"/>
        <v>50</v>
      </c>
      <c r="P840" s="95">
        <f t="shared" si="127"/>
        <v>42</v>
      </c>
      <c r="Q840" s="361">
        <f t="shared" si="129"/>
        <v>84</v>
      </c>
    </row>
    <row r="841" spans="2:17" x14ac:dyDescent="0.2">
      <c r="B841" s="18">
        <f t="shared" si="130"/>
        <v>346</v>
      </c>
      <c r="C841" s="6"/>
      <c r="D841" s="6"/>
      <c r="E841" s="6"/>
      <c r="F841" s="93"/>
      <c r="G841" s="5">
        <v>635</v>
      </c>
      <c r="H841" s="6" t="s">
        <v>133</v>
      </c>
      <c r="I841" s="7">
        <f>100+200+1000+7000+7713</f>
        <v>16013</v>
      </c>
      <c r="J841" s="7">
        <v>12237</v>
      </c>
      <c r="K841" s="361">
        <f t="shared" si="132"/>
        <v>76.419159432960711</v>
      </c>
      <c r="L841" s="7"/>
      <c r="M841" s="7"/>
      <c r="N841" s="361"/>
      <c r="O841" s="95">
        <f t="shared" si="128"/>
        <v>16013</v>
      </c>
      <c r="P841" s="95">
        <f t="shared" si="127"/>
        <v>12237</v>
      </c>
      <c r="Q841" s="361">
        <f t="shared" si="129"/>
        <v>76.419159432960711</v>
      </c>
    </row>
    <row r="842" spans="2:17" x14ac:dyDescent="0.2">
      <c r="B842" s="18">
        <f t="shared" si="130"/>
        <v>347</v>
      </c>
      <c r="C842" s="6"/>
      <c r="D842" s="6"/>
      <c r="E842" s="6"/>
      <c r="F842" s="93"/>
      <c r="G842" s="5">
        <v>636</v>
      </c>
      <c r="H842" s="6" t="s">
        <v>126</v>
      </c>
      <c r="I842" s="7">
        <v>91</v>
      </c>
      <c r="J842" s="7">
        <v>91</v>
      </c>
      <c r="K842" s="361">
        <f t="shared" si="132"/>
        <v>100</v>
      </c>
      <c r="L842" s="7"/>
      <c r="M842" s="7"/>
      <c r="N842" s="361"/>
      <c r="O842" s="95">
        <f t="shared" si="128"/>
        <v>91</v>
      </c>
      <c r="P842" s="95">
        <f t="shared" si="127"/>
        <v>91</v>
      </c>
      <c r="Q842" s="361">
        <f t="shared" si="129"/>
        <v>100</v>
      </c>
    </row>
    <row r="843" spans="2:17" x14ac:dyDescent="0.2">
      <c r="B843" s="18">
        <f t="shared" si="130"/>
        <v>348</v>
      </c>
      <c r="C843" s="6"/>
      <c r="D843" s="6"/>
      <c r="E843" s="6"/>
      <c r="F843" s="93"/>
      <c r="G843" s="5">
        <v>637</v>
      </c>
      <c r="H843" s="6" t="s">
        <v>122</v>
      </c>
      <c r="I843" s="7">
        <f>12375+5250+600+1500+400+2000+2500+1000+500+300+1500+500-4165+2794+7000+15386+422</f>
        <v>49862</v>
      </c>
      <c r="J843" s="7">
        <v>41943</v>
      </c>
      <c r="K843" s="361">
        <f t="shared" si="132"/>
        <v>84.118166138542378</v>
      </c>
      <c r="L843" s="7"/>
      <c r="M843" s="7"/>
      <c r="N843" s="361"/>
      <c r="O843" s="95">
        <f t="shared" si="128"/>
        <v>49862</v>
      </c>
      <c r="P843" s="95">
        <f t="shared" si="127"/>
        <v>41943</v>
      </c>
      <c r="Q843" s="361">
        <f t="shared" ref="Q843:Q874" si="133">P843/O843*100</f>
        <v>84.118166138542378</v>
      </c>
    </row>
    <row r="844" spans="2:17" x14ac:dyDescent="0.2">
      <c r="B844" s="18">
        <f t="shared" si="130"/>
        <v>349</v>
      </c>
      <c r="C844" s="3"/>
      <c r="D844" s="3"/>
      <c r="E844" s="3"/>
      <c r="F844" s="90" t="s">
        <v>108</v>
      </c>
      <c r="G844" s="2">
        <v>640</v>
      </c>
      <c r="H844" s="3" t="s">
        <v>129</v>
      </c>
      <c r="I844" s="4">
        <f>17900+10400+500+500+2265-6479</f>
        <v>25086</v>
      </c>
      <c r="J844" s="4">
        <v>25086</v>
      </c>
      <c r="K844" s="361">
        <f t="shared" si="132"/>
        <v>100</v>
      </c>
      <c r="L844" s="4"/>
      <c r="M844" s="4"/>
      <c r="N844" s="361"/>
      <c r="O844" s="92">
        <f t="shared" si="128"/>
        <v>25086</v>
      </c>
      <c r="P844" s="92">
        <f t="shared" si="127"/>
        <v>25086</v>
      </c>
      <c r="Q844" s="361">
        <f t="shared" si="133"/>
        <v>100</v>
      </c>
    </row>
    <row r="845" spans="2:17" x14ac:dyDescent="0.2">
      <c r="B845" s="18">
        <f t="shared" si="130"/>
        <v>350</v>
      </c>
      <c r="C845" s="3"/>
      <c r="D845" s="3"/>
      <c r="E845" s="3"/>
      <c r="F845" s="90"/>
      <c r="G845" s="2">
        <v>600</v>
      </c>
      <c r="H845" s="3" t="s">
        <v>625</v>
      </c>
      <c r="I845" s="4">
        <v>118356</v>
      </c>
      <c r="J845" s="4">
        <v>118456</v>
      </c>
      <c r="K845" s="361">
        <f t="shared" si="132"/>
        <v>100.08449085808915</v>
      </c>
      <c r="L845" s="4"/>
      <c r="M845" s="4"/>
      <c r="N845" s="361"/>
      <c r="O845" s="92">
        <f t="shared" si="128"/>
        <v>118356</v>
      </c>
      <c r="P845" s="92">
        <f t="shared" si="127"/>
        <v>118456</v>
      </c>
      <c r="Q845" s="361">
        <f t="shared" si="133"/>
        <v>100.08449085808915</v>
      </c>
    </row>
    <row r="846" spans="2:17" x14ac:dyDescent="0.2">
      <c r="B846" s="18">
        <f t="shared" si="130"/>
        <v>351</v>
      </c>
      <c r="C846" s="3"/>
      <c r="D846" s="3"/>
      <c r="E846" s="3"/>
      <c r="F846" s="90" t="s">
        <v>75</v>
      </c>
      <c r="G846" s="2">
        <v>633</v>
      </c>
      <c r="H846" s="3" t="s">
        <v>125</v>
      </c>
      <c r="I846" s="4">
        <v>50</v>
      </c>
      <c r="J846" s="4">
        <v>50</v>
      </c>
      <c r="K846" s="361">
        <f t="shared" si="132"/>
        <v>100</v>
      </c>
      <c r="L846" s="4"/>
      <c r="M846" s="4"/>
      <c r="N846" s="361"/>
      <c r="O846" s="92">
        <f t="shared" si="128"/>
        <v>50</v>
      </c>
      <c r="P846" s="92">
        <f t="shared" si="127"/>
        <v>50</v>
      </c>
      <c r="Q846" s="361">
        <f t="shared" si="133"/>
        <v>100</v>
      </c>
    </row>
    <row r="847" spans="2:17" x14ac:dyDescent="0.2">
      <c r="B847" s="18">
        <f t="shared" si="130"/>
        <v>352</v>
      </c>
      <c r="C847" s="3"/>
      <c r="D847" s="3"/>
      <c r="E847" s="3"/>
      <c r="F847" s="90" t="s">
        <v>108</v>
      </c>
      <c r="G847" s="2">
        <v>710</v>
      </c>
      <c r="H847" s="3" t="s">
        <v>175</v>
      </c>
      <c r="I847" s="4"/>
      <c r="J847" s="4"/>
      <c r="K847" s="361"/>
      <c r="L847" s="4">
        <f>L851+L848</f>
        <v>107310</v>
      </c>
      <c r="M847" s="4">
        <f>M851+M848</f>
        <v>8747</v>
      </c>
      <c r="N847" s="361">
        <f t="shared" ref="N847:N853" si="134">M847/L847*100</f>
        <v>8.1511508713074274</v>
      </c>
      <c r="O847" s="92">
        <f t="shared" si="128"/>
        <v>107310</v>
      </c>
      <c r="P847" s="92">
        <f t="shared" si="127"/>
        <v>8747</v>
      </c>
      <c r="Q847" s="361">
        <f t="shared" si="133"/>
        <v>8.1511508713074274</v>
      </c>
    </row>
    <row r="848" spans="2:17" x14ac:dyDescent="0.2">
      <c r="B848" s="18">
        <f t="shared" si="130"/>
        <v>353</v>
      </c>
      <c r="C848" s="3"/>
      <c r="D848" s="3"/>
      <c r="E848" s="3"/>
      <c r="F848" s="90"/>
      <c r="G848" s="5">
        <v>713</v>
      </c>
      <c r="H848" s="6" t="s">
        <v>218</v>
      </c>
      <c r="I848" s="7"/>
      <c r="J848" s="7"/>
      <c r="K848" s="361"/>
      <c r="L848" s="7">
        <f>L849+L850</f>
        <v>7310</v>
      </c>
      <c r="M848" s="7">
        <f>M849+M850</f>
        <v>7283</v>
      </c>
      <c r="N848" s="361">
        <f t="shared" si="134"/>
        <v>99.63064295485637</v>
      </c>
      <c r="O848" s="95">
        <f t="shared" si="128"/>
        <v>7310</v>
      </c>
      <c r="P848" s="95">
        <f t="shared" si="127"/>
        <v>7283</v>
      </c>
      <c r="Q848" s="361">
        <f t="shared" si="133"/>
        <v>99.63064295485637</v>
      </c>
    </row>
    <row r="849" spans="2:17" s="122" customFormat="1" x14ac:dyDescent="0.2">
      <c r="B849" s="18">
        <f t="shared" si="130"/>
        <v>354</v>
      </c>
      <c r="C849" s="3"/>
      <c r="D849" s="3"/>
      <c r="E849" s="3"/>
      <c r="F849" s="90"/>
      <c r="G849" s="5"/>
      <c r="H849" s="9" t="s">
        <v>699</v>
      </c>
      <c r="I849" s="10"/>
      <c r="J849" s="10"/>
      <c r="K849" s="361"/>
      <c r="L849" s="10">
        <v>3360</v>
      </c>
      <c r="M849" s="10">
        <v>3360</v>
      </c>
      <c r="N849" s="361">
        <f t="shared" si="134"/>
        <v>100</v>
      </c>
      <c r="O849" s="108">
        <f t="shared" si="128"/>
        <v>3360</v>
      </c>
      <c r="P849" s="108">
        <f t="shared" si="127"/>
        <v>3360</v>
      </c>
      <c r="Q849" s="361">
        <f t="shared" si="133"/>
        <v>100</v>
      </c>
    </row>
    <row r="850" spans="2:17" x14ac:dyDescent="0.2">
      <c r="B850" s="18">
        <f t="shared" si="130"/>
        <v>355</v>
      </c>
      <c r="C850" s="3"/>
      <c r="D850" s="3"/>
      <c r="E850" s="3"/>
      <c r="F850" s="90"/>
      <c r="G850" s="5"/>
      <c r="H850" s="9" t="s">
        <v>706</v>
      </c>
      <c r="I850" s="10"/>
      <c r="J850" s="10"/>
      <c r="K850" s="361"/>
      <c r="L850" s="10">
        <v>3950</v>
      </c>
      <c r="M850" s="10">
        <v>3923</v>
      </c>
      <c r="N850" s="361">
        <f t="shared" si="134"/>
        <v>99.316455696202539</v>
      </c>
      <c r="O850" s="108">
        <f t="shared" si="128"/>
        <v>3950</v>
      </c>
      <c r="P850" s="108">
        <f t="shared" si="127"/>
        <v>3923</v>
      </c>
      <c r="Q850" s="361">
        <f t="shared" si="133"/>
        <v>99.316455696202539</v>
      </c>
    </row>
    <row r="851" spans="2:17" x14ac:dyDescent="0.2">
      <c r="B851" s="18">
        <f t="shared" si="130"/>
        <v>356</v>
      </c>
      <c r="C851" s="3"/>
      <c r="D851" s="3"/>
      <c r="E851" s="3"/>
      <c r="F851" s="93"/>
      <c r="G851" s="5">
        <v>716</v>
      </c>
      <c r="H851" s="6" t="s">
        <v>215</v>
      </c>
      <c r="I851" s="7"/>
      <c r="J851" s="7"/>
      <c r="K851" s="361"/>
      <c r="L851" s="7">
        <f>L852</f>
        <v>100000</v>
      </c>
      <c r="M851" s="7">
        <f>M852</f>
        <v>1464</v>
      </c>
      <c r="N851" s="361">
        <f t="shared" si="134"/>
        <v>1.464</v>
      </c>
      <c r="O851" s="95">
        <f t="shared" si="128"/>
        <v>100000</v>
      </c>
      <c r="P851" s="95">
        <f t="shared" si="127"/>
        <v>1464</v>
      </c>
      <c r="Q851" s="361">
        <f t="shared" si="133"/>
        <v>1.464</v>
      </c>
    </row>
    <row r="852" spans="2:17" x14ac:dyDescent="0.2">
      <c r="B852" s="18">
        <f t="shared" si="130"/>
        <v>357</v>
      </c>
      <c r="C852" s="195"/>
      <c r="D852" s="195"/>
      <c r="E852" s="195"/>
      <c r="F852" s="194"/>
      <c r="G852" s="106"/>
      <c r="H852" s="9" t="s">
        <v>552</v>
      </c>
      <c r="I852" s="10"/>
      <c r="J852" s="10"/>
      <c r="K852" s="361"/>
      <c r="L852" s="10">
        <v>100000</v>
      </c>
      <c r="M852" s="10">
        <v>1464</v>
      </c>
      <c r="N852" s="361">
        <f t="shared" si="134"/>
        <v>1.464</v>
      </c>
      <c r="O852" s="108">
        <f>L852</f>
        <v>100000</v>
      </c>
      <c r="P852" s="108">
        <f>M852</f>
        <v>1464</v>
      </c>
      <c r="Q852" s="361">
        <f t="shared" si="133"/>
        <v>1.464</v>
      </c>
    </row>
    <row r="853" spans="2:17" ht="15" x14ac:dyDescent="0.25">
      <c r="B853" s="18">
        <f t="shared" si="130"/>
        <v>358</v>
      </c>
      <c r="C853" s="176"/>
      <c r="D853" s="176"/>
      <c r="E853" s="176">
        <v>11</v>
      </c>
      <c r="F853" s="177"/>
      <c r="G853" s="177"/>
      <c r="H853" s="176" t="s">
        <v>7</v>
      </c>
      <c r="I853" s="178">
        <f>I854+I855+I856+I863+I864+I865+I866+I874+I875+I876</f>
        <v>2940275</v>
      </c>
      <c r="J853" s="178">
        <f>J854+J855+J856+J863+J864+J865+J866+J874+J875+J876</f>
        <v>2798283</v>
      </c>
      <c r="K853" s="361">
        <f t="shared" ref="K853:K876" si="135">J853/I853*100</f>
        <v>95.170791847701324</v>
      </c>
      <c r="L853" s="178">
        <f>L877</f>
        <v>229439</v>
      </c>
      <c r="M853" s="178">
        <f>M877</f>
        <v>229325</v>
      </c>
      <c r="N853" s="361">
        <f t="shared" si="134"/>
        <v>99.950313590976251</v>
      </c>
      <c r="O853" s="179">
        <f t="shared" ref="O853:O884" si="136">I853+L853</f>
        <v>3169714</v>
      </c>
      <c r="P853" s="179">
        <f t="shared" ref="P853:P884" si="137">J853+M853</f>
        <v>3027608</v>
      </c>
      <c r="Q853" s="361">
        <f t="shared" si="133"/>
        <v>95.51675640136618</v>
      </c>
    </row>
    <row r="854" spans="2:17" x14ac:dyDescent="0.2">
      <c r="B854" s="18">
        <f t="shared" si="130"/>
        <v>359</v>
      </c>
      <c r="C854" s="3"/>
      <c r="D854" s="3"/>
      <c r="E854" s="3"/>
      <c r="F854" s="90" t="s">
        <v>119</v>
      </c>
      <c r="G854" s="2">
        <v>610</v>
      </c>
      <c r="H854" s="3" t="s">
        <v>131</v>
      </c>
      <c r="I854" s="4">
        <f>505240+66700+10052</f>
        <v>581992</v>
      </c>
      <c r="J854" s="4">
        <v>581992</v>
      </c>
      <c r="K854" s="361">
        <f t="shared" si="135"/>
        <v>100</v>
      </c>
      <c r="L854" s="4"/>
      <c r="M854" s="4"/>
      <c r="N854" s="361"/>
      <c r="O854" s="92">
        <f t="shared" si="136"/>
        <v>581992</v>
      </c>
      <c r="P854" s="92">
        <f t="shared" si="137"/>
        <v>581992</v>
      </c>
      <c r="Q854" s="361">
        <f t="shared" si="133"/>
        <v>100</v>
      </c>
    </row>
    <row r="855" spans="2:17" x14ac:dyDescent="0.2">
      <c r="B855" s="18">
        <f t="shared" si="130"/>
        <v>360</v>
      </c>
      <c r="C855" s="3"/>
      <c r="D855" s="3"/>
      <c r="E855" s="3"/>
      <c r="F855" s="90" t="s">
        <v>119</v>
      </c>
      <c r="G855" s="2">
        <v>620</v>
      </c>
      <c r="H855" s="3" t="s">
        <v>124</v>
      </c>
      <c r="I855" s="4">
        <f>186536+14381+6501</f>
        <v>207418</v>
      </c>
      <c r="J855" s="4">
        <v>207418</v>
      </c>
      <c r="K855" s="361">
        <f t="shared" si="135"/>
        <v>100</v>
      </c>
      <c r="L855" s="4"/>
      <c r="M855" s="4"/>
      <c r="N855" s="361"/>
      <c r="O855" s="92">
        <f t="shared" si="136"/>
        <v>207418</v>
      </c>
      <c r="P855" s="92">
        <f t="shared" si="137"/>
        <v>207418</v>
      </c>
      <c r="Q855" s="361">
        <f t="shared" si="133"/>
        <v>100</v>
      </c>
    </row>
    <row r="856" spans="2:17" x14ac:dyDescent="0.2">
      <c r="B856" s="18">
        <f t="shared" si="130"/>
        <v>361</v>
      </c>
      <c r="C856" s="3"/>
      <c r="D856" s="3"/>
      <c r="E856" s="3"/>
      <c r="F856" s="90" t="s">
        <v>119</v>
      </c>
      <c r="G856" s="2">
        <v>630</v>
      </c>
      <c r="H856" s="3" t="s">
        <v>121</v>
      </c>
      <c r="I856" s="4">
        <f>SUM(I857:I862)</f>
        <v>83820</v>
      </c>
      <c r="J856" s="4">
        <f>SUM(J857:J862)</f>
        <v>70031</v>
      </c>
      <c r="K856" s="361">
        <f t="shared" si="135"/>
        <v>83.549272250059644</v>
      </c>
      <c r="L856" s="4"/>
      <c r="M856" s="4"/>
      <c r="N856" s="361"/>
      <c r="O856" s="92">
        <f t="shared" si="136"/>
        <v>83820</v>
      </c>
      <c r="P856" s="92">
        <f t="shared" si="137"/>
        <v>70031</v>
      </c>
      <c r="Q856" s="361">
        <f t="shared" si="133"/>
        <v>83.549272250059644</v>
      </c>
    </row>
    <row r="857" spans="2:17" x14ac:dyDescent="0.2">
      <c r="B857" s="18">
        <f t="shared" si="130"/>
        <v>362</v>
      </c>
      <c r="C857" s="3"/>
      <c r="D857" s="3"/>
      <c r="E857" s="3"/>
      <c r="F857" s="90"/>
      <c r="G857" s="5">
        <v>631</v>
      </c>
      <c r="H857" s="6" t="s">
        <v>127</v>
      </c>
      <c r="I857" s="7">
        <v>100</v>
      </c>
      <c r="J857" s="7">
        <v>22</v>
      </c>
      <c r="K857" s="361">
        <f t="shared" si="135"/>
        <v>22</v>
      </c>
      <c r="L857" s="7"/>
      <c r="M857" s="7"/>
      <c r="N857" s="361"/>
      <c r="O857" s="95">
        <f t="shared" si="136"/>
        <v>100</v>
      </c>
      <c r="P857" s="95">
        <f t="shared" si="137"/>
        <v>22</v>
      </c>
      <c r="Q857" s="361">
        <f t="shared" si="133"/>
        <v>22</v>
      </c>
    </row>
    <row r="858" spans="2:17" x14ac:dyDescent="0.2">
      <c r="B858" s="18">
        <f t="shared" si="130"/>
        <v>363</v>
      </c>
      <c r="C858" s="6"/>
      <c r="D858" s="6"/>
      <c r="E858" s="6"/>
      <c r="F858" s="93"/>
      <c r="G858" s="5">
        <v>632</v>
      </c>
      <c r="H858" s="6" t="s">
        <v>134</v>
      </c>
      <c r="I858" s="7">
        <f>720+280+180+1280+2720+2400+2000+20000+7600-13000-2000</f>
        <v>22180</v>
      </c>
      <c r="J858" s="7">
        <v>8497</v>
      </c>
      <c r="K858" s="361">
        <f t="shared" si="135"/>
        <v>38.309287646528404</v>
      </c>
      <c r="L858" s="7"/>
      <c r="M858" s="7"/>
      <c r="N858" s="361"/>
      <c r="O858" s="95">
        <f t="shared" si="136"/>
        <v>22180</v>
      </c>
      <c r="P858" s="95">
        <f t="shared" si="137"/>
        <v>8497</v>
      </c>
      <c r="Q858" s="361">
        <f t="shared" si="133"/>
        <v>38.309287646528404</v>
      </c>
    </row>
    <row r="859" spans="2:17" x14ac:dyDescent="0.2">
      <c r="B859" s="18">
        <f t="shared" si="130"/>
        <v>364</v>
      </c>
      <c r="C859" s="6"/>
      <c r="D859" s="6"/>
      <c r="E859" s="6"/>
      <c r="F859" s="93"/>
      <c r="G859" s="5">
        <v>633</v>
      </c>
      <c r="H859" s="6" t="s">
        <v>125</v>
      </c>
      <c r="I859" s="7">
        <f>2800+130+100+300+650+1500+1000+2000+1000+2500+2000+500+1800+980+850+2800+300+520+2000+435-660+536</f>
        <v>24041</v>
      </c>
      <c r="J859" s="7">
        <v>24041</v>
      </c>
      <c r="K859" s="361">
        <f t="shared" si="135"/>
        <v>100</v>
      </c>
      <c r="L859" s="7"/>
      <c r="M859" s="7"/>
      <c r="N859" s="361"/>
      <c r="O859" s="95">
        <f t="shared" si="136"/>
        <v>24041</v>
      </c>
      <c r="P859" s="95">
        <f t="shared" si="137"/>
        <v>24041</v>
      </c>
      <c r="Q859" s="361">
        <f t="shared" si="133"/>
        <v>100</v>
      </c>
    </row>
    <row r="860" spans="2:17" x14ac:dyDescent="0.2">
      <c r="B860" s="18">
        <f t="shared" si="130"/>
        <v>365</v>
      </c>
      <c r="C860" s="6"/>
      <c r="D860" s="6"/>
      <c r="E860" s="6"/>
      <c r="F860" s="93"/>
      <c r="G860" s="5">
        <v>635</v>
      </c>
      <c r="H860" s="6" t="s">
        <v>133</v>
      </c>
      <c r="I860" s="7">
        <f>1680+1800+500+2400+2800+1140+100+600+350+200-5000</f>
        <v>6570</v>
      </c>
      <c r="J860" s="7">
        <v>6542</v>
      </c>
      <c r="K860" s="361">
        <f t="shared" si="135"/>
        <v>99.573820395738196</v>
      </c>
      <c r="L860" s="7"/>
      <c r="M860" s="7"/>
      <c r="N860" s="361"/>
      <c r="O860" s="95">
        <f t="shared" si="136"/>
        <v>6570</v>
      </c>
      <c r="P860" s="95">
        <f t="shared" si="137"/>
        <v>6542</v>
      </c>
      <c r="Q860" s="361">
        <f t="shared" si="133"/>
        <v>99.573820395738196</v>
      </c>
    </row>
    <row r="861" spans="2:17" x14ac:dyDescent="0.2">
      <c r="B861" s="18">
        <f t="shared" si="130"/>
        <v>366</v>
      </c>
      <c r="C861" s="6"/>
      <c r="D861" s="6"/>
      <c r="E861" s="6"/>
      <c r="F861" s="93"/>
      <c r="G861" s="5">
        <v>636</v>
      </c>
      <c r="H861" s="6" t="s">
        <v>126</v>
      </c>
      <c r="I861" s="7">
        <f>1700+800</f>
        <v>2500</v>
      </c>
      <c r="J861" s="7">
        <v>2500</v>
      </c>
      <c r="K861" s="361">
        <f t="shared" si="135"/>
        <v>100</v>
      </c>
      <c r="L861" s="7"/>
      <c r="M861" s="7"/>
      <c r="N861" s="361"/>
      <c r="O861" s="95">
        <f t="shared" si="136"/>
        <v>2500</v>
      </c>
      <c r="P861" s="95">
        <f t="shared" si="137"/>
        <v>2500</v>
      </c>
      <c r="Q861" s="361">
        <f t="shared" si="133"/>
        <v>100</v>
      </c>
    </row>
    <row r="862" spans="2:17" s="122" customFormat="1" x14ac:dyDescent="0.2">
      <c r="B862" s="18">
        <f t="shared" si="130"/>
        <v>367</v>
      </c>
      <c r="C862" s="6"/>
      <c r="D862" s="6"/>
      <c r="E862" s="6"/>
      <c r="F862" s="93"/>
      <c r="G862" s="5">
        <v>637</v>
      </c>
      <c r="H862" s="6" t="s">
        <v>122</v>
      </c>
      <c r="I862" s="7">
        <f>40429-3000-9000</f>
        <v>28429</v>
      </c>
      <c r="J862" s="7">
        <v>28429</v>
      </c>
      <c r="K862" s="361">
        <f t="shared" si="135"/>
        <v>100</v>
      </c>
      <c r="L862" s="7"/>
      <c r="M862" s="7"/>
      <c r="N862" s="361"/>
      <c r="O862" s="95">
        <f t="shared" si="136"/>
        <v>28429</v>
      </c>
      <c r="P862" s="95">
        <f t="shared" si="137"/>
        <v>28429</v>
      </c>
      <c r="Q862" s="361">
        <f t="shared" si="133"/>
        <v>100</v>
      </c>
    </row>
    <row r="863" spans="2:17" x14ac:dyDescent="0.2">
      <c r="B863" s="18">
        <f t="shared" si="130"/>
        <v>368</v>
      </c>
      <c r="C863" s="3"/>
      <c r="D863" s="3"/>
      <c r="E863" s="3"/>
      <c r="F863" s="90" t="s">
        <v>119</v>
      </c>
      <c r="G863" s="2">
        <v>640</v>
      </c>
      <c r="H863" s="3" t="s">
        <v>129</v>
      </c>
      <c r="I863" s="4">
        <f>5400+900+4000+2505</f>
        <v>12805</v>
      </c>
      <c r="J863" s="4">
        <v>12805</v>
      </c>
      <c r="K863" s="361">
        <f t="shared" si="135"/>
        <v>100</v>
      </c>
      <c r="L863" s="4"/>
      <c r="M863" s="4"/>
      <c r="N863" s="361"/>
      <c r="O863" s="92">
        <f t="shared" si="136"/>
        <v>12805</v>
      </c>
      <c r="P863" s="92">
        <f t="shared" si="137"/>
        <v>12805</v>
      </c>
      <c r="Q863" s="361">
        <f t="shared" si="133"/>
        <v>100</v>
      </c>
    </row>
    <row r="864" spans="2:17" x14ac:dyDescent="0.2">
      <c r="B864" s="18">
        <f t="shared" si="130"/>
        <v>369</v>
      </c>
      <c r="C864" s="3"/>
      <c r="D864" s="3"/>
      <c r="E864" s="3"/>
      <c r="F864" s="90" t="s">
        <v>108</v>
      </c>
      <c r="G864" s="2">
        <v>610</v>
      </c>
      <c r="H864" s="3" t="s">
        <v>131</v>
      </c>
      <c r="I864" s="4">
        <f>904045+100+100050+114455</f>
        <v>1118650</v>
      </c>
      <c r="J864" s="4">
        <v>1108643</v>
      </c>
      <c r="K864" s="361">
        <f t="shared" si="135"/>
        <v>99.105439592365798</v>
      </c>
      <c r="L864" s="4"/>
      <c r="M864" s="4"/>
      <c r="N864" s="361"/>
      <c r="O864" s="92">
        <f t="shared" si="136"/>
        <v>1118650</v>
      </c>
      <c r="P864" s="92">
        <f t="shared" si="137"/>
        <v>1108643</v>
      </c>
      <c r="Q864" s="361">
        <f t="shared" si="133"/>
        <v>99.105439592365798</v>
      </c>
    </row>
    <row r="865" spans="2:17" x14ac:dyDescent="0.2">
      <c r="B865" s="18">
        <f t="shared" si="130"/>
        <v>370</v>
      </c>
      <c r="C865" s="3"/>
      <c r="D865" s="3"/>
      <c r="E865" s="3"/>
      <c r="F865" s="90" t="s">
        <v>108</v>
      </c>
      <c r="G865" s="2">
        <v>620</v>
      </c>
      <c r="H865" s="3" t="s">
        <v>124</v>
      </c>
      <c r="I865" s="4">
        <f>346433+35+21500+42988</f>
        <v>410956</v>
      </c>
      <c r="J865" s="4">
        <v>407573</v>
      </c>
      <c r="K865" s="361">
        <f t="shared" si="135"/>
        <v>99.176797516035776</v>
      </c>
      <c r="L865" s="4"/>
      <c r="M865" s="4"/>
      <c r="N865" s="361"/>
      <c r="O865" s="92">
        <f t="shared" si="136"/>
        <v>410956</v>
      </c>
      <c r="P865" s="92">
        <f t="shared" si="137"/>
        <v>407573</v>
      </c>
      <c r="Q865" s="361">
        <f t="shared" si="133"/>
        <v>99.176797516035776</v>
      </c>
    </row>
    <row r="866" spans="2:17" x14ac:dyDescent="0.2">
      <c r="B866" s="18">
        <f t="shared" si="130"/>
        <v>371</v>
      </c>
      <c r="C866" s="3"/>
      <c r="D866" s="3"/>
      <c r="E866" s="3"/>
      <c r="F866" s="90" t="s">
        <v>108</v>
      </c>
      <c r="G866" s="2">
        <v>630</v>
      </c>
      <c r="H866" s="3" t="s">
        <v>121</v>
      </c>
      <c r="I866" s="4">
        <f>I873+I872+I871+I870+I869+I868+I867</f>
        <v>433899</v>
      </c>
      <c r="J866" s="4">
        <f>J873+J872+J871+J870+J869+J868+J867</f>
        <v>319087</v>
      </c>
      <c r="K866" s="361">
        <f t="shared" si="135"/>
        <v>73.539464253201785</v>
      </c>
      <c r="L866" s="4"/>
      <c r="M866" s="4"/>
      <c r="N866" s="361"/>
      <c r="O866" s="92">
        <f t="shared" si="136"/>
        <v>433899</v>
      </c>
      <c r="P866" s="92">
        <f t="shared" si="137"/>
        <v>319087</v>
      </c>
      <c r="Q866" s="361">
        <f t="shared" si="133"/>
        <v>73.539464253201785</v>
      </c>
    </row>
    <row r="867" spans="2:17" x14ac:dyDescent="0.2">
      <c r="B867" s="18">
        <f t="shared" si="130"/>
        <v>372</v>
      </c>
      <c r="C867" s="3"/>
      <c r="D867" s="3"/>
      <c r="E867" s="3"/>
      <c r="F867" s="90"/>
      <c r="G867" s="5">
        <v>631</v>
      </c>
      <c r="H867" s="6" t="s">
        <v>127</v>
      </c>
      <c r="I867" s="7">
        <f>120+120</f>
        <v>240</v>
      </c>
      <c r="J867" s="7">
        <v>240</v>
      </c>
      <c r="K867" s="361">
        <f t="shared" si="135"/>
        <v>100</v>
      </c>
      <c r="L867" s="7"/>
      <c r="M867" s="7"/>
      <c r="N867" s="361"/>
      <c r="O867" s="95">
        <f t="shared" si="136"/>
        <v>240</v>
      </c>
      <c r="P867" s="95">
        <f t="shared" si="137"/>
        <v>240</v>
      </c>
      <c r="Q867" s="361">
        <f t="shared" si="133"/>
        <v>100</v>
      </c>
    </row>
    <row r="868" spans="2:17" x14ac:dyDescent="0.2">
      <c r="B868" s="18">
        <f t="shared" si="130"/>
        <v>373</v>
      </c>
      <c r="C868" s="6"/>
      <c r="D868" s="6"/>
      <c r="E868" s="6"/>
      <c r="F868" s="93"/>
      <c r="G868" s="5">
        <v>632</v>
      </c>
      <c r="H868" s="6" t="s">
        <v>134</v>
      </c>
      <c r="I868" s="7">
        <f>925+520+350+2000+3080+3000+20000+2422+14060+154300+30276+30000+17400-50000-12035+9775</f>
        <v>226073</v>
      </c>
      <c r="J868" s="7">
        <v>117793</v>
      </c>
      <c r="K868" s="361">
        <f t="shared" si="135"/>
        <v>52.103966417926948</v>
      </c>
      <c r="L868" s="7"/>
      <c r="M868" s="7"/>
      <c r="N868" s="361"/>
      <c r="O868" s="95">
        <f t="shared" si="136"/>
        <v>226073</v>
      </c>
      <c r="P868" s="95">
        <f t="shared" si="137"/>
        <v>117793</v>
      </c>
      <c r="Q868" s="361">
        <f t="shared" si="133"/>
        <v>52.103966417926948</v>
      </c>
    </row>
    <row r="869" spans="2:17" x14ac:dyDescent="0.2">
      <c r="B869" s="18">
        <f t="shared" si="130"/>
        <v>374</v>
      </c>
      <c r="C869" s="6"/>
      <c r="D869" s="6"/>
      <c r="E869" s="6"/>
      <c r="F869" s="93"/>
      <c r="G869" s="5">
        <v>633</v>
      </c>
      <c r="H869" s="6" t="s">
        <v>125</v>
      </c>
      <c r="I869" s="7">
        <f>50160+500+21493</f>
        <v>72153</v>
      </c>
      <c r="J869" s="7">
        <v>70916</v>
      </c>
      <c r="K869" s="361">
        <f t="shared" si="135"/>
        <v>98.285587570856364</v>
      </c>
      <c r="L869" s="7"/>
      <c r="M869" s="7"/>
      <c r="N869" s="361"/>
      <c r="O869" s="95">
        <f t="shared" si="136"/>
        <v>72153</v>
      </c>
      <c r="P869" s="95">
        <f t="shared" si="137"/>
        <v>70916</v>
      </c>
      <c r="Q869" s="361">
        <f t="shared" si="133"/>
        <v>98.285587570856364</v>
      </c>
    </row>
    <row r="870" spans="2:17" x14ac:dyDescent="0.2">
      <c r="B870" s="18">
        <f t="shared" si="130"/>
        <v>375</v>
      </c>
      <c r="C870" s="6"/>
      <c r="D870" s="6"/>
      <c r="E870" s="6"/>
      <c r="F870" s="93"/>
      <c r="G870" s="5">
        <v>634</v>
      </c>
      <c r="H870" s="6" t="s">
        <v>132</v>
      </c>
      <c r="I870" s="7">
        <v>1610</v>
      </c>
      <c r="J870" s="7">
        <v>1610</v>
      </c>
      <c r="K870" s="361">
        <f t="shared" si="135"/>
        <v>100</v>
      </c>
      <c r="L870" s="7"/>
      <c r="M870" s="7"/>
      <c r="N870" s="361"/>
      <c r="O870" s="95">
        <f t="shared" si="136"/>
        <v>1610</v>
      </c>
      <c r="P870" s="95">
        <f t="shared" si="137"/>
        <v>1610</v>
      </c>
      <c r="Q870" s="361">
        <f t="shared" si="133"/>
        <v>100</v>
      </c>
    </row>
    <row r="871" spans="2:17" x14ac:dyDescent="0.2">
      <c r="B871" s="18">
        <f t="shared" si="130"/>
        <v>376</v>
      </c>
      <c r="C871" s="6"/>
      <c r="D871" s="6"/>
      <c r="E871" s="6"/>
      <c r="F871" s="93"/>
      <c r="G871" s="5">
        <v>635</v>
      </c>
      <c r="H871" s="6" t="s">
        <v>133</v>
      </c>
      <c r="I871" s="7">
        <f>3360+4000+500+3600+4200+1900+150+800+530+300+5000-6000-4636+3007+29364</f>
        <v>46075</v>
      </c>
      <c r="J871" s="7">
        <v>45711</v>
      </c>
      <c r="K871" s="361">
        <f t="shared" si="135"/>
        <v>99.209983722192078</v>
      </c>
      <c r="L871" s="7"/>
      <c r="M871" s="7"/>
      <c r="N871" s="361"/>
      <c r="O871" s="95">
        <f t="shared" si="136"/>
        <v>46075</v>
      </c>
      <c r="P871" s="95">
        <f t="shared" si="137"/>
        <v>45711</v>
      </c>
      <c r="Q871" s="361">
        <f t="shared" si="133"/>
        <v>99.209983722192078</v>
      </c>
    </row>
    <row r="872" spans="2:17" x14ac:dyDescent="0.2">
      <c r="B872" s="18">
        <f t="shared" si="130"/>
        <v>377</v>
      </c>
      <c r="C872" s="6"/>
      <c r="D872" s="6"/>
      <c r="E872" s="6"/>
      <c r="F872" s="93"/>
      <c r="G872" s="5">
        <v>636</v>
      </c>
      <c r="H872" s="6" t="s">
        <v>126</v>
      </c>
      <c r="I872" s="7">
        <f>2600+900</f>
        <v>3500</v>
      </c>
      <c r="J872" s="7">
        <v>3500</v>
      </c>
      <c r="K872" s="361">
        <f t="shared" si="135"/>
        <v>100</v>
      </c>
      <c r="L872" s="7"/>
      <c r="M872" s="7"/>
      <c r="N872" s="361"/>
      <c r="O872" s="95">
        <f t="shared" si="136"/>
        <v>3500</v>
      </c>
      <c r="P872" s="95">
        <f t="shared" si="137"/>
        <v>3500</v>
      </c>
      <c r="Q872" s="361">
        <f t="shared" si="133"/>
        <v>100</v>
      </c>
    </row>
    <row r="873" spans="2:17" x14ac:dyDescent="0.2">
      <c r="B873" s="18">
        <f t="shared" si="130"/>
        <v>378</v>
      </c>
      <c r="C873" s="6"/>
      <c r="D873" s="6"/>
      <c r="E873" s="6"/>
      <c r="F873" s="93"/>
      <c r="G873" s="5">
        <v>637</v>
      </c>
      <c r="H873" s="6" t="s">
        <v>122</v>
      </c>
      <c r="I873" s="7">
        <f>81269-3000+500+4893+586</f>
        <v>84248</v>
      </c>
      <c r="J873" s="7">
        <v>79317</v>
      </c>
      <c r="K873" s="361">
        <f t="shared" si="135"/>
        <v>94.147042066280505</v>
      </c>
      <c r="L873" s="7"/>
      <c r="M873" s="7"/>
      <c r="N873" s="361"/>
      <c r="O873" s="95">
        <f t="shared" si="136"/>
        <v>84248</v>
      </c>
      <c r="P873" s="95">
        <f t="shared" si="137"/>
        <v>79317</v>
      </c>
      <c r="Q873" s="361">
        <f t="shared" si="133"/>
        <v>94.147042066280505</v>
      </c>
    </row>
    <row r="874" spans="2:17" x14ac:dyDescent="0.2">
      <c r="B874" s="18">
        <f t="shared" si="130"/>
        <v>379</v>
      </c>
      <c r="C874" s="3"/>
      <c r="D874" s="3"/>
      <c r="E874" s="3"/>
      <c r="F874" s="90" t="s">
        <v>108</v>
      </c>
      <c r="G874" s="2">
        <v>640</v>
      </c>
      <c r="H874" s="3" t="s">
        <v>129</v>
      </c>
      <c r="I874" s="4">
        <f>1300+4750+1250+30+470+3500+100+100+450+50-2364+2364-191</f>
        <v>11809</v>
      </c>
      <c r="J874" s="4">
        <v>11809</v>
      </c>
      <c r="K874" s="361">
        <f t="shared" si="135"/>
        <v>100</v>
      </c>
      <c r="L874" s="4"/>
      <c r="M874" s="4"/>
      <c r="N874" s="361"/>
      <c r="O874" s="92">
        <f t="shared" si="136"/>
        <v>11809</v>
      </c>
      <c r="P874" s="92">
        <f t="shared" si="137"/>
        <v>11809</v>
      </c>
      <c r="Q874" s="361">
        <f t="shared" si="133"/>
        <v>100</v>
      </c>
    </row>
    <row r="875" spans="2:17" x14ac:dyDescent="0.2">
      <c r="B875" s="18">
        <f t="shared" si="130"/>
        <v>380</v>
      </c>
      <c r="C875" s="3"/>
      <c r="D875" s="3"/>
      <c r="E875" s="3"/>
      <c r="F875" s="90"/>
      <c r="G875" s="2">
        <v>600</v>
      </c>
      <c r="H875" s="3" t="s">
        <v>625</v>
      </c>
      <c r="I875" s="4">
        <v>78859</v>
      </c>
      <c r="J875" s="4">
        <v>78859</v>
      </c>
      <c r="K875" s="361">
        <f t="shared" si="135"/>
        <v>100</v>
      </c>
      <c r="L875" s="4"/>
      <c r="M875" s="4"/>
      <c r="N875" s="361"/>
      <c r="O875" s="92">
        <f t="shared" si="136"/>
        <v>78859</v>
      </c>
      <c r="P875" s="92">
        <f t="shared" si="137"/>
        <v>78859</v>
      </c>
      <c r="Q875" s="361">
        <f t="shared" ref="Q875:Q906" si="138">P875/O875*100</f>
        <v>100</v>
      </c>
    </row>
    <row r="876" spans="2:17" x14ac:dyDescent="0.2">
      <c r="B876" s="18">
        <f t="shared" si="130"/>
        <v>381</v>
      </c>
      <c r="C876" s="3"/>
      <c r="D876" s="3"/>
      <c r="E876" s="3"/>
      <c r="F876" s="90" t="s">
        <v>75</v>
      </c>
      <c r="G876" s="2">
        <v>640</v>
      </c>
      <c r="H876" s="3" t="s">
        <v>129</v>
      </c>
      <c r="I876" s="4">
        <v>67</v>
      </c>
      <c r="J876" s="4">
        <v>66</v>
      </c>
      <c r="K876" s="361">
        <f t="shared" si="135"/>
        <v>98.507462686567166</v>
      </c>
      <c r="L876" s="4"/>
      <c r="M876" s="4"/>
      <c r="N876" s="361"/>
      <c r="O876" s="92">
        <f t="shared" si="136"/>
        <v>67</v>
      </c>
      <c r="P876" s="92">
        <f t="shared" si="137"/>
        <v>66</v>
      </c>
      <c r="Q876" s="361">
        <f t="shared" si="138"/>
        <v>98.507462686567166</v>
      </c>
    </row>
    <row r="877" spans="2:17" x14ac:dyDescent="0.2">
      <c r="B877" s="18">
        <f t="shared" si="130"/>
        <v>382</v>
      </c>
      <c r="C877" s="3"/>
      <c r="D877" s="3"/>
      <c r="E877" s="3"/>
      <c r="F877" s="90" t="s">
        <v>108</v>
      </c>
      <c r="G877" s="2">
        <v>710</v>
      </c>
      <c r="H877" s="3" t="s">
        <v>175</v>
      </c>
      <c r="I877" s="4"/>
      <c r="J877" s="4"/>
      <c r="K877" s="361"/>
      <c r="L877" s="4">
        <f>L880+L878</f>
        <v>229439</v>
      </c>
      <c r="M877" s="4">
        <f>M880+M878</f>
        <v>229325</v>
      </c>
      <c r="N877" s="361">
        <f t="shared" ref="N877:N883" si="139">M877/L877*100</f>
        <v>99.950313590976251</v>
      </c>
      <c r="O877" s="92">
        <f t="shared" si="136"/>
        <v>229439</v>
      </c>
      <c r="P877" s="92">
        <f t="shared" si="137"/>
        <v>229325</v>
      </c>
      <c r="Q877" s="361">
        <f t="shared" si="138"/>
        <v>99.950313590976251</v>
      </c>
    </row>
    <row r="878" spans="2:17" x14ac:dyDescent="0.2">
      <c r="B878" s="18">
        <f t="shared" si="130"/>
        <v>383</v>
      </c>
      <c r="C878" s="3"/>
      <c r="D878" s="3"/>
      <c r="E878" s="3"/>
      <c r="F878" s="90"/>
      <c r="G878" s="5">
        <v>713</v>
      </c>
      <c r="H878" s="6" t="s">
        <v>218</v>
      </c>
      <c r="I878" s="7"/>
      <c r="J878" s="7"/>
      <c r="K878" s="361"/>
      <c r="L878" s="7">
        <f>L879</f>
        <v>3636</v>
      </c>
      <c r="M878" s="7">
        <f>M879</f>
        <v>3636</v>
      </c>
      <c r="N878" s="361">
        <f t="shared" si="139"/>
        <v>100</v>
      </c>
      <c r="O878" s="95">
        <f t="shared" si="136"/>
        <v>3636</v>
      </c>
      <c r="P878" s="95">
        <f t="shared" si="137"/>
        <v>3636</v>
      </c>
      <c r="Q878" s="361">
        <f t="shared" si="138"/>
        <v>100</v>
      </c>
    </row>
    <row r="879" spans="2:17" x14ac:dyDescent="0.2">
      <c r="B879" s="18">
        <f t="shared" si="130"/>
        <v>384</v>
      </c>
      <c r="C879" s="3"/>
      <c r="D879" s="3"/>
      <c r="E879" s="3"/>
      <c r="F879" s="90"/>
      <c r="G879" s="5"/>
      <c r="H879" s="9" t="s">
        <v>563</v>
      </c>
      <c r="I879" s="10"/>
      <c r="J879" s="10"/>
      <c r="K879" s="361"/>
      <c r="L879" s="10">
        <f>6000-2364</f>
        <v>3636</v>
      </c>
      <c r="M879" s="10">
        <v>3636</v>
      </c>
      <c r="N879" s="361">
        <f t="shared" si="139"/>
        <v>100</v>
      </c>
      <c r="O879" s="108">
        <f t="shared" si="136"/>
        <v>3636</v>
      </c>
      <c r="P879" s="108">
        <f t="shared" si="137"/>
        <v>3636</v>
      </c>
      <c r="Q879" s="361">
        <f t="shared" si="138"/>
        <v>100</v>
      </c>
    </row>
    <row r="880" spans="2:17" x14ac:dyDescent="0.2">
      <c r="B880" s="18">
        <f t="shared" si="130"/>
        <v>385</v>
      </c>
      <c r="C880" s="6"/>
      <c r="D880" s="6"/>
      <c r="E880" s="6"/>
      <c r="F880" s="93"/>
      <c r="G880" s="5">
        <v>717</v>
      </c>
      <c r="H880" s="6" t="s">
        <v>182</v>
      </c>
      <c r="I880" s="7"/>
      <c r="J880" s="7"/>
      <c r="K880" s="361"/>
      <c r="L880" s="7">
        <f>L881+L882</f>
        <v>225803</v>
      </c>
      <c r="M880" s="7">
        <f>M881+M882</f>
        <v>225689</v>
      </c>
      <c r="N880" s="361">
        <f t="shared" si="139"/>
        <v>99.949513513992287</v>
      </c>
      <c r="O880" s="95">
        <f t="shared" si="136"/>
        <v>225803</v>
      </c>
      <c r="P880" s="95">
        <f t="shared" si="137"/>
        <v>225689</v>
      </c>
      <c r="Q880" s="361">
        <f t="shared" si="138"/>
        <v>99.949513513992287</v>
      </c>
    </row>
    <row r="881" spans="2:17" x14ac:dyDescent="0.2">
      <c r="B881" s="18">
        <f t="shared" ref="B881:B944" si="140">B880+1</f>
        <v>386</v>
      </c>
      <c r="C881" s="9"/>
      <c r="D881" s="9"/>
      <c r="E881" s="9"/>
      <c r="F881" s="194"/>
      <c r="G881" s="106"/>
      <c r="H881" s="9" t="s">
        <v>438</v>
      </c>
      <c r="I881" s="10"/>
      <c r="J881" s="10"/>
      <c r="K881" s="361"/>
      <c r="L881" s="10">
        <f>98620-16000</f>
        <v>82620</v>
      </c>
      <c r="M881" s="10">
        <v>82535</v>
      </c>
      <c r="N881" s="361">
        <f t="shared" si="139"/>
        <v>99.897119341563794</v>
      </c>
      <c r="O881" s="108">
        <f t="shared" si="136"/>
        <v>82620</v>
      </c>
      <c r="P881" s="108">
        <f t="shared" si="137"/>
        <v>82535</v>
      </c>
      <c r="Q881" s="361">
        <f t="shared" si="138"/>
        <v>99.897119341563794</v>
      </c>
    </row>
    <row r="882" spans="2:17" x14ac:dyDescent="0.2">
      <c r="B882" s="18">
        <f t="shared" si="140"/>
        <v>387</v>
      </c>
      <c r="C882" s="9"/>
      <c r="D882" s="9"/>
      <c r="E882" s="9"/>
      <c r="F882" s="194"/>
      <c r="G882" s="106"/>
      <c r="H882" s="9" t="s">
        <v>633</v>
      </c>
      <c r="I882" s="10"/>
      <c r="J882" s="10"/>
      <c r="K882" s="361"/>
      <c r="L882" s="10">
        <f>110000+28100+5083</f>
        <v>143183</v>
      </c>
      <c r="M882" s="10">
        <v>143154</v>
      </c>
      <c r="N882" s="361">
        <f t="shared" si="139"/>
        <v>99.979746198920267</v>
      </c>
      <c r="O882" s="108">
        <f t="shared" si="136"/>
        <v>143183</v>
      </c>
      <c r="P882" s="108">
        <f t="shared" si="137"/>
        <v>143154</v>
      </c>
      <c r="Q882" s="361">
        <f t="shared" si="138"/>
        <v>99.979746198920267</v>
      </c>
    </row>
    <row r="883" spans="2:17" ht="15" x14ac:dyDescent="0.25">
      <c r="B883" s="18">
        <f t="shared" si="140"/>
        <v>388</v>
      </c>
      <c r="C883" s="176"/>
      <c r="D883" s="176"/>
      <c r="E883" s="176">
        <v>12</v>
      </c>
      <c r="F883" s="177"/>
      <c r="G883" s="177"/>
      <c r="H883" s="176" t="s">
        <v>5</v>
      </c>
      <c r="I883" s="178">
        <f>I884+I885+I886+I893+I894+I895+I896+I903+I904</f>
        <v>2632881</v>
      </c>
      <c r="J883" s="178">
        <f>J884+J885+J886+J893+J894+J895+J896+J903+J904</f>
        <v>2513797</v>
      </c>
      <c r="K883" s="361">
        <f t="shared" ref="K883:K904" si="141">J883/I883*100</f>
        <v>95.477045867245806</v>
      </c>
      <c r="L883" s="178">
        <f>L905</f>
        <v>102720</v>
      </c>
      <c r="M883" s="178">
        <f>M905</f>
        <v>102524</v>
      </c>
      <c r="N883" s="361">
        <f t="shared" si="139"/>
        <v>99.809190031152653</v>
      </c>
      <c r="O883" s="179">
        <f t="shared" si="136"/>
        <v>2735601</v>
      </c>
      <c r="P883" s="179">
        <f t="shared" si="137"/>
        <v>2616321</v>
      </c>
      <c r="Q883" s="361">
        <f t="shared" si="138"/>
        <v>95.639715002297493</v>
      </c>
    </row>
    <row r="884" spans="2:17" x14ac:dyDescent="0.2">
      <c r="B884" s="18">
        <f t="shared" si="140"/>
        <v>389</v>
      </c>
      <c r="C884" s="3"/>
      <c r="D884" s="3"/>
      <c r="E884" s="3"/>
      <c r="F884" s="90" t="s">
        <v>119</v>
      </c>
      <c r="G884" s="2">
        <v>610</v>
      </c>
      <c r="H884" s="3" t="s">
        <v>131</v>
      </c>
      <c r="I884" s="4">
        <f>4320+30000+38000+14000+18000+7800+7200+533000+30100-7000+34600-11077</f>
        <v>698943</v>
      </c>
      <c r="J884" s="4">
        <v>697045</v>
      </c>
      <c r="K884" s="361">
        <f t="shared" si="141"/>
        <v>99.728447097975078</v>
      </c>
      <c r="L884" s="4"/>
      <c r="M884" s="4"/>
      <c r="N884" s="361"/>
      <c r="O884" s="92">
        <f t="shared" si="136"/>
        <v>698943</v>
      </c>
      <c r="P884" s="92">
        <f t="shared" si="137"/>
        <v>697045</v>
      </c>
      <c r="Q884" s="361">
        <f t="shared" si="138"/>
        <v>99.728447097975078</v>
      </c>
    </row>
    <row r="885" spans="2:17" x14ac:dyDescent="0.2">
      <c r="B885" s="18">
        <f t="shared" si="140"/>
        <v>390</v>
      </c>
      <c r="C885" s="3"/>
      <c r="D885" s="3"/>
      <c r="E885" s="3"/>
      <c r="F885" s="90" t="s">
        <v>119</v>
      </c>
      <c r="G885" s="2">
        <v>620</v>
      </c>
      <c r="H885" s="3" t="s">
        <v>124</v>
      </c>
      <c r="I885" s="4">
        <f>30000+7000+19000+7000+5000+88000+9000+51310+2000+10020-1298+12592-3983</f>
        <v>235641</v>
      </c>
      <c r="J885" s="4">
        <v>235641</v>
      </c>
      <c r="K885" s="361">
        <f t="shared" si="141"/>
        <v>100</v>
      </c>
      <c r="L885" s="4"/>
      <c r="M885" s="4"/>
      <c r="N885" s="361"/>
      <c r="O885" s="92">
        <f t="shared" ref="O885:O919" si="142">I885+L885</f>
        <v>235641</v>
      </c>
      <c r="P885" s="92">
        <f t="shared" ref="P885:P919" si="143">J885+M885</f>
        <v>235641</v>
      </c>
      <c r="Q885" s="361">
        <f t="shared" si="138"/>
        <v>100</v>
      </c>
    </row>
    <row r="886" spans="2:17" x14ac:dyDescent="0.2">
      <c r="B886" s="18">
        <f t="shared" si="140"/>
        <v>391</v>
      </c>
      <c r="C886" s="3"/>
      <c r="D886" s="3"/>
      <c r="E886" s="3"/>
      <c r="F886" s="90" t="s">
        <v>119</v>
      </c>
      <c r="G886" s="2">
        <v>630</v>
      </c>
      <c r="H886" s="3" t="s">
        <v>121</v>
      </c>
      <c r="I886" s="4">
        <f>I892+I891+I890+I889+I888+I887</f>
        <v>66970</v>
      </c>
      <c r="J886" s="4">
        <f>J892+J891+J890+J889+J888+J887</f>
        <v>46545</v>
      </c>
      <c r="K886" s="361">
        <f t="shared" si="141"/>
        <v>69.501269225026135</v>
      </c>
      <c r="L886" s="4"/>
      <c r="M886" s="4"/>
      <c r="N886" s="361"/>
      <c r="O886" s="92">
        <f t="shared" si="142"/>
        <v>66970</v>
      </c>
      <c r="P886" s="92">
        <f t="shared" si="143"/>
        <v>46545</v>
      </c>
      <c r="Q886" s="361">
        <f t="shared" si="138"/>
        <v>69.501269225026135</v>
      </c>
    </row>
    <row r="887" spans="2:17" x14ac:dyDescent="0.2">
      <c r="B887" s="18">
        <f t="shared" si="140"/>
        <v>392</v>
      </c>
      <c r="C887" s="6"/>
      <c r="D887" s="6"/>
      <c r="E887" s="6"/>
      <c r="F887" s="93"/>
      <c r="G887" s="5">
        <v>631</v>
      </c>
      <c r="H887" s="6" t="s">
        <v>127</v>
      </c>
      <c r="I887" s="7">
        <v>1400</v>
      </c>
      <c r="J887" s="7">
        <v>1400</v>
      </c>
      <c r="K887" s="361">
        <f t="shared" si="141"/>
        <v>100</v>
      </c>
      <c r="L887" s="7"/>
      <c r="M887" s="7"/>
      <c r="N887" s="361"/>
      <c r="O887" s="95">
        <f t="shared" si="142"/>
        <v>1400</v>
      </c>
      <c r="P887" s="95">
        <f t="shared" si="143"/>
        <v>1400</v>
      </c>
      <c r="Q887" s="361">
        <f t="shared" si="138"/>
        <v>100</v>
      </c>
    </row>
    <row r="888" spans="2:17" x14ac:dyDescent="0.2">
      <c r="B888" s="18">
        <f t="shared" si="140"/>
        <v>393</v>
      </c>
      <c r="C888" s="6"/>
      <c r="D888" s="6"/>
      <c r="E888" s="6"/>
      <c r="F888" s="93"/>
      <c r="G888" s="5">
        <v>632</v>
      </c>
      <c r="H888" s="6" t="s">
        <v>134</v>
      </c>
      <c r="I888" s="7">
        <f>39770-12000</f>
        <v>27770</v>
      </c>
      <c r="J888" s="7">
        <v>7564</v>
      </c>
      <c r="K888" s="361">
        <f t="shared" si="141"/>
        <v>27.23802664746129</v>
      </c>
      <c r="L888" s="7"/>
      <c r="M888" s="7"/>
      <c r="N888" s="361"/>
      <c r="O888" s="95">
        <f t="shared" si="142"/>
        <v>27770</v>
      </c>
      <c r="P888" s="95">
        <f t="shared" si="143"/>
        <v>7564</v>
      </c>
      <c r="Q888" s="361">
        <f t="shared" si="138"/>
        <v>27.23802664746129</v>
      </c>
    </row>
    <row r="889" spans="2:17" x14ac:dyDescent="0.2">
      <c r="B889" s="18">
        <f t="shared" si="140"/>
        <v>394</v>
      </c>
      <c r="C889" s="6"/>
      <c r="D889" s="6"/>
      <c r="E889" s="6"/>
      <c r="F889" s="93"/>
      <c r="G889" s="5">
        <v>633</v>
      </c>
      <c r="H889" s="6" t="s">
        <v>125</v>
      </c>
      <c r="I889" s="7">
        <f>21850+700+300-8000</f>
        <v>14850</v>
      </c>
      <c r="J889" s="7">
        <v>14677</v>
      </c>
      <c r="K889" s="361">
        <f t="shared" si="141"/>
        <v>98.83501683501683</v>
      </c>
      <c r="L889" s="7"/>
      <c r="M889" s="7"/>
      <c r="N889" s="361"/>
      <c r="O889" s="95">
        <f t="shared" si="142"/>
        <v>14850</v>
      </c>
      <c r="P889" s="95">
        <f t="shared" si="143"/>
        <v>14677</v>
      </c>
      <c r="Q889" s="361">
        <f t="shared" si="138"/>
        <v>98.83501683501683</v>
      </c>
    </row>
    <row r="890" spans="2:17" x14ac:dyDescent="0.2">
      <c r="B890" s="18">
        <f t="shared" si="140"/>
        <v>395</v>
      </c>
      <c r="C890" s="6"/>
      <c r="D890" s="6"/>
      <c r="E890" s="6"/>
      <c r="F890" s="93"/>
      <c r="G890" s="5">
        <v>635</v>
      </c>
      <c r="H890" s="6" t="s">
        <v>133</v>
      </c>
      <c r="I890" s="7">
        <f>700+2600</f>
        <v>3300</v>
      </c>
      <c r="J890" s="7">
        <v>3268</v>
      </c>
      <c r="K890" s="361">
        <f t="shared" si="141"/>
        <v>99.030303030303031</v>
      </c>
      <c r="L890" s="7"/>
      <c r="M890" s="7"/>
      <c r="N890" s="361"/>
      <c r="O890" s="95">
        <f t="shared" si="142"/>
        <v>3300</v>
      </c>
      <c r="P890" s="95">
        <f t="shared" si="143"/>
        <v>3268</v>
      </c>
      <c r="Q890" s="361">
        <f t="shared" si="138"/>
        <v>99.030303030303031</v>
      </c>
    </row>
    <row r="891" spans="2:17" x14ac:dyDescent="0.2">
      <c r="B891" s="18">
        <f t="shared" si="140"/>
        <v>396</v>
      </c>
      <c r="C891" s="6"/>
      <c r="D891" s="6"/>
      <c r="E891" s="6"/>
      <c r="F891" s="93"/>
      <c r="G891" s="5">
        <v>636</v>
      </c>
      <c r="H891" s="6" t="s">
        <v>126</v>
      </c>
      <c r="I891" s="7">
        <f>3500-1900</f>
        <v>1600</v>
      </c>
      <c r="J891" s="7">
        <v>1584</v>
      </c>
      <c r="K891" s="361">
        <f t="shared" si="141"/>
        <v>99</v>
      </c>
      <c r="L891" s="7"/>
      <c r="M891" s="7"/>
      <c r="N891" s="361"/>
      <c r="O891" s="95">
        <f t="shared" si="142"/>
        <v>1600</v>
      </c>
      <c r="P891" s="95">
        <f t="shared" si="143"/>
        <v>1584</v>
      </c>
      <c r="Q891" s="361">
        <f t="shared" si="138"/>
        <v>99</v>
      </c>
    </row>
    <row r="892" spans="2:17" x14ac:dyDescent="0.2">
      <c r="B892" s="18">
        <f t="shared" si="140"/>
        <v>397</v>
      </c>
      <c r="C892" s="6"/>
      <c r="D892" s="6"/>
      <c r="E892" s="6"/>
      <c r="F892" s="93"/>
      <c r="G892" s="5">
        <v>637</v>
      </c>
      <c r="H892" s="6" t="s">
        <v>122</v>
      </c>
      <c r="I892" s="7">
        <f>500+800+2000+2700+6200+1400+4200+6000+350-8000+1900</f>
        <v>18050</v>
      </c>
      <c r="J892" s="7">
        <v>18052</v>
      </c>
      <c r="K892" s="361">
        <f t="shared" si="141"/>
        <v>100.01108033240997</v>
      </c>
      <c r="L892" s="7"/>
      <c r="M892" s="7"/>
      <c r="N892" s="361"/>
      <c r="O892" s="95">
        <f t="shared" si="142"/>
        <v>18050</v>
      </c>
      <c r="P892" s="95">
        <f t="shared" si="143"/>
        <v>18052</v>
      </c>
      <c r="Q892" s="361">
        <f t="shared" si="138"/>
        <v>100.01108033240997</v>
      </c>
    </row>
    <row r="893" spans="2:17" x14ac:dyDescent="0.2">
      <c r="B893" s="18">
        <f t="shared" si="140"/>
        <v>398</v>
      </c>
      <c r="C893" s="3"/>
      <c r="D893" s="3"/>
      <c r="E893" s="3"/>
      <c r="F893" s="90" t="s">
        <v>119</v>
      </c>
      <c r="G893" s="2">
        <v>640</v>
      </c>
      <c r="H893" s="3" t="s">
        <v>129</v>
      </c>
      <c r="I893" s="4">
        <f>7000+10000</f>
        <v>17000</v>
      </c>
      <c r="J893" s="4">
        <v>16406</v>
      </c>
      <c r="K893" s="361">
        <f t="shared" si="141"/>
        <v>96.505882352941171</v>
      </c>
      <c r="L893" s="4"/>
      <c r="M893" s="4"/>
      <c r="N893" s="361"/>
      <c r="O893" s="92">
        <f t="shared" si="142"/>
        <v>17000</v>
      </c>
      <c r="P893" s="92">
        <f t="shared" si="143"/>
        <v>16406</v>
      </c>
      <c r="Q893" s="361">
        <f t="shared" si="138"/>
        <v>96.505882352941171</v>
      </c>
    </row>
    <row r="894" spans="2:17" x14ac:dyDescent="0.2">
      <c r="B894" s="18">
        <f t="shared" si="140"/>
        <v>399</v>
      </c>
      <c r="C894" s="3"/>
      <c r="D894" s="3"/>
      <c r="E894" s="3"/>
      <c r="F894" s="90" t="s">
        <v>108</v>
      </c>
      <c r="G894" s="2">
        <v>610</v>
      </c>
      <c r="H894" s="3" t="s">
        <v>131</v>
      </c>
      <c r="I894" s="4">
        <f>75815+640000+28800+9360+18000+38000+14000+6500+4212+26400+100-11425+60006</f>
        <v>909768</v>
      </c>
      <c r="J894" s="4">
        <v>897677</v>
      </c>
      <c r="K894" s="361">
        <f t="shared" si="141"/>
        <v>98.670979854204589</v>
      </c>
      <c r="L894" s="4"/>
      <c r="M894" s="4"/>
      <c r="N894" s="361"/>
      <c r="O894" s="92">
        <f t="shared" si="142"/>
        <v>909768</v>
      </c>
      <c r="P894" s="92">
        <f t="shared" si="143"/>
        <v>897677</v>
      </c>
      <c r="Q894" s="361">
        <f t="shared" si="138"/>
        <v>98.670979854204589</v>
      </c>
    </row>
    <row r="895" spans="2:17" x14ac:dyDescent="0.2">
      <c r="B895" s="18">
        <f t="shared" si="140"/>
        <v>400</v>
      </c>
      <c r="C895" s="3"/>
      <c r="D895" s="3"/>
      <c r="E895" s="3"/>
      <c r="F895" s="90" t="s">
        <v>108</v>
      </c>
      <c r="G895" s="2">
        <v>620</v>
      </c>
      <c r="H895" s="3" t="s">
        <v>124</v>
      </c>
      <c r="I895" s="4">
        <f>26700+85500+2000+9000+89000+5000+19000+7000+31000+7000+9300+35-3575+63502</f>
        <v>350462</v>
      </c>
      <c r="J895" s="4">
        <v>350462</v>
      </c>
      <c r="K895" s="361">
        <f t="shared" si="141"/>
        <v>100</v>
      </c>
      <c r="L895" s="4"/>
      <c r="M895" s="4"/>
      <c r="N895" s="361"/>
      <c r="O895" s="92">
        <f t="shared" si="142"/>
        <v>350462</v>
      </c>
      <c r="P895" s="92">
        <f t="shared" si="143"/>
        <v>350462</v>
      </c>
      <c r="Q895" s="361">
        <f t="shared" si="138"/>
        <v>100</v>
      </c>
    </row>
    <row r="896" spans="2:17" x14ac:dyDescent="0.2">
      <c r="B896" s="18">
        <f t="shared" si="140"/>
        <v>401</v>
      </c>
      <c r="C896" s="3"/>
      <c r="D896" s="3"/>
      <c r="E896" s="3"/>
      <c r="F896" s="90" t="s">
        <v>108</v>
      </c>
      <c r="G896" s="2">
        <v>630</v>
      </c>
      <c r="H896" s="3" t="s">
        <v>121</v>
      </c>
      <c r="I896" s="4">
        <f>I902+I901+I900+I899+I898+I897</f>
        <v>275337</v>
      </c>
      <c r="J896" s="4">
        <f>J902+J901+J900+J899+J898+J897</f>
        <v>194682</v>
      </c>
      <c r="K896" s="361">
        <f t="shared" si="141"/>
        <v>70.706806567951276</v>
      </c>
      <c r="L896" s="4"/>
      <c r="M896" s="4"/>
      <c r="N896" s="361"/>
      <c r="O896" s="92">
        <f t="shared" si="142"/>
        <v>275337</v>
      </c>
      <c r="P896" s="92">
        <f t="shared" si="143"/>
        <v>194682</v>
      </c>
      <c r="Q896" s="361">
        <f t="shared" si="138"/>
        <v>70.706806567951276</v>
      </c>
    </row>
    <row r="897" spans="2:17" x14ac:dyDescent="0.2">
      <c r="B897" s="18">
        <f t="shared" si="140"/>
        <v>402</v>
      </c>
      <c r="C897" s="6"/>
      <c r="D897" s="6"/>
      <c r="E897" s="6"/>
      <c r="F897" s="93"/>
      <c r="G897" s="5">
        <v>631</v>
      </c>
      <c r="H897" s="6" t="s">
        <v>127</v>
      </c>
      <c r="I897" s="7">
        <v>1400</v>
      </c>
      <c r="J897" s="7">
        <v>1051</v>
      </c>
      <c r="K897" s="361">
        <f t="shared" si="141"/>
        <v>75.071428571428569</v>
      </c>
      <c r="L897" s="7"/>
      <c r="M897" s="7"/>
      <c r="N897" s="361"/>
      <c r="O897" s="95">
        <f t="shared" si="142"/>
        <v>1400</v>
      </c>
      <c r="P897" s="95">
        <f t="shared" si="143"/>
        <v>1051</v>
      </c>
      <c r="Q897" s="361">
        <f t="shared" si="138"/>
        <v>75.071428571428569</v>
      </c>
    </row>
    <row r="898" spans="2:17" x14ac:dyDescent="0.2">
      <c r="B898" s="18">
        <f t="shared" si="140"/>
        <v>403</v>
      </c>
      <c r="C898" s="6"/>
      <c r="D898" s="6"/>
      <c r="E898" s="6"/>
      <c r="F898" s="93"/>
      <c r="G898" s="5">
        <v>632</v>
      </c>
      <c r="H898" s="6" t="s">
        <v>134</v>
      </c>
      <c r="I898" s="7">
        <f>39670-12000</f>
        <v>27670</v>
      </c>
      <c r="J898" s="7">
        <v>14498</v>
      </c>
      <c r="K898" s="361">
        <f t="shared" si="141"/>
        <v>52.396096855800508</v>
      </c>
      <c r="L898" s="7"/>
      <c r="M898" s="7"/>
      <c r="N898" s="361"/>
      <c r="O898" s="95">
        <f t="shared" si="142"/>
        <v>27670</v>
      </c>
      <c r="P898" s="95">
        <f t="shared" si="143"/>
        <v>14498</v>
      </c>
      <c r="Q898" s="361">
        <f t="shared" si="138"/>
        <v>52.396096855800508</v>
      </c>
    </row>
    <row r="899" spans="2:17" x14ac:dyDescent="0.2">
      <c r="B899" s="18">
        <f t="shared" si="140"/>
        <v>404</v>
      </c>
      <c r="C899" s="6"/>
      <c r="D899" s="6"/>
      <c r="E899" s="6"/>
      <c r="F899" s="93"/>
      <c r="G899" s="5">
        <v>633</v>
      </c>
      <c r="H899" s="6" t="s">
        <v>125</v>
      </c>
      <c r="I899" s="7">
        <f>22250+900+300+52245</f>
        <v>75695</v>
      </c>
      <c r="J899" s="7">
        <v>64208</v>
      </c>
      <c r="K899" s="361">
        <f t="shared" si="141"/>
        <v>84.824625140365939</v>
      </c>
      <c r="L899" s="7"/>
      <c r="M899" s="7"/>
      <c r="N899" s="361"/>
      <c r="O899" s="95">
        <f t="shared" si="142"/>
        <v>75695</v>
      </c>
      <c r="P899" s="95">
        <f t="shared" si="143"/>
        <v>64208</v>
      </c>
      <c r="Q899" s="361">
        <f t="shared" si="138"/>
        <v>84.824625140365939</v>
      </c>
    </row>
    <row r="900" spans="2:17" x14ac:dyDescent="0.2">
      <c r="B900" s="18">
        <f t="shared" si="140"/>
        <v>405</v>
      </c>
      <c r="C900" s="6"/>
      <c r="D900" s="6"/>
      <c r="E900" s="6"/>
      <c r="F900" s="93"/>
      <c r="G900" s="5">
        <v>635</v>
      </c>
      <c r="H900" s="6" t="s">
        <v>133</v>
      </c>
      <c r="I900" s="7">
        <f>18700-1642</f>
        <v>17058</v>
      </c>
      <c r="J900" s="7">
        <v>17058</v>
      </c>
      <c r="K900" s="361">
        <f t="shared" si="141"/>
        <v>100</v>
      </c>
      <c r="L900" s="7"/>
      <c r="M900" s="7"/>
      <c r="N900" s="361"/>
      <c r="O900" s="95">
        <f t="shared" si="142"/>
        <v>17058</v>
      </c>
      <c r="P900" s="95">
        <f t="shared" si="143"/>
        <v>17058</v>
      </c>
      <c r="Q900" s="361">
        <f t="shared" si="138"/>
        <v>100</v>
      </c>
    </row>
    <row r="901" spans="2:17" x14ac:dyDescent="0.2">
      <c r="B901" s="18">
        <f t="shared" si="140"/>
        <v>406</v>
      </c>
      <c r="C901" s="6"/>
      <c r="D901" s="6"/>
      <c r="E901" s="6"/>
      <c r="F901" s="93"/>
      <c r="G901" s="5">
        <v>636</v>
      </c>
      <c r="H901" s="6" t="s">
        <v>126</v>
      </c>
      <c r="I901" s="7">
        <v>3000</v>
      </c>
      <c r="J901" s="7">
        <v>2931</v>
      </c>
      <c r="K901" s="361">
        <f t="shared" si="141"/>
        <v>97.7</v>
      </c>
      <c r="L901" s="7"/>
      <c r="M901" s="7"/>
      <c r="N901" s="361"/>
      <c r="O901" s="95">
        <f t="shared" si="142"/>
        <v>3000</v>
      </c>
      <c r="P901" s="95">
        <f t="shared" si="143"/>
        <v>2931</v>
      </c>
      <c r="Q901" s="361">
        <f t="shared" si="138"/>
        <v>97.7</v>
      </c>
    </row>
    <row r="902" spans="2:17" x14ac:dyDescent="0.2">
      <c r="B902" s="18">
        <f t="shared" si="140"/>
        <v>407</v>
      </c>
      <c r="C902" s="6"/>
      <c r="D902" s="6"/>
      <c r="E902" s="6"/>
      <c r="F902" s="93"/>
      <c r="G902" s="5">
        <v>637</v>
      </c>
      <c r="H902" s="6" t="s">
        <v>122</v>
      </c>
      <c r="I902" s="7">
        <f>1400+4000+700+26000+6000+400+200+17600+7000+800+1500+2000+19250+2550+450+10284+37639+12741</f>
        <v>150514</v>
      </c>
      <c r="J902" s="7">
        <v>94936</v>
      </c>
      <c r="K902" s="361">
        <f t="shared" si="141"/>
        <v>63.074531272838406</v>
      </c>
      <c r="L902" s="7"/>
      <c r="M902" s="7"/>
      <c r="N902" s="361"/>
      <c r="O902" s="95">
        <f t="shared" si="142"/>
        <v>150514</v>
      </c>
      <c r="P902" s="95">
        <f t="shared" si="143"/>
        <v>94936</v>
      </c>
      <c r="Q902" s="361">
        <f t="shared" si="138"/>
        <v>63.074531272838406</v>
      </c>
    </row>
    <row r="903" spans="2:17" x14ac:dyDescent="0.2">
      <c r="B903" s="18">
        <f t="shared" si="140"/>
        <v>408</v>
      </c>
      <c r="C903" s="3"/>
      <c r="D903" s="3"/>
      <c r="E903" s="3"/>
      <c r="F903" s="90" t="s">
        <v>108</v>
      </c>
      <c r="G903" s="2">
        <v>640</v>
      </c>
      <c r="H903" s="3" t="s">
        <v>129</v>
      </c>
      <c r="I903" s="4">
        <f>3200+10500+7500-1583-726</f>
        <v>18891</v>
      </c>
      <c r="J903" s="4">
        <v>15470</v>
      </c>
      <c r="K903" s="361">
        <f t="shared" si="141"/>
        <v>81.890847493515423</v>
      </c>
      <c r="L903" s="4"/>
      <c r="M903" s="4"/>
      <c r="N903" s="361"/>
      <c r="O903" s="92">
        <f t="shared" si="142"/>
        <v>18891</v>
      </c>
      <c r="P903" s="92">
        <f t="shared" si="143"/>
        <v>15470</v>
      </c>
      <c r="Q903" s="361">
        <f t="shared" si="138"/>
        <v>81.890847493515423</v>
      </c>
    </row>
    <row r="904" spans="2:17" x14ac:dyDescent="0.2">
      <c r="B904" s="18">
        <f t="shared" si="140"/>
        <v>409</v>
      </c>
      <c r="C904" s="3"/>
      <c r="D904" s="3"/>
      <c r="E904" s="3"/>
      <c r="F904" s="90"/>
      <c r="G904" s="2">
        <v>600</v>
      </c>
      <c r="H904" s="3" t="s">
        <v>625</v>
      </c>
      <c r="I904" s="4">
        <v>59869</v>
      </c>
      <c r="J904" s="4">
        <v>59869</v>
      </c>
      <c r="K904" s="361">
        <f t="shared" si="141"/>
        <v>100</v>
      </c>
      <c r="L904" s="4"/>
      <c r="M904" s="4"/>
      <c r="N904" s="361"/>
      <c r="O904" s="92">
        <f t="shared" si="142"/>
        <v>59869</v>
      </c>
      <c r="P904" s="92">
        <f t="shared" si="143"/>
        <v>59869</v>
      </c>
      <c r="Q904" s="361">
        <f t="shared" si="138"/>
        <v>100</v>
      </c>
    </row>
    <row r="905" spans="2:17" x14ac:dyDescent="0.2">
      <c r="B905" s="18">
        <f t="shared" si="140"/>
        <v>410</v>
      </c>
      <c r="C905" s="3"/>
      <c r="D905" s="3"/>
      <c r="E905" s="3"/>
      <c r="F905" s="90" t="s">
        <v>108</v>
      </c>
      <c r="G905" s="2">
        <v>710</v>
      </c>
      <c r="H905" s="3" t="s">
        <v>175</v>
      </c>
      <c r="I905" s="4"/>
      <c r="J905" s="4"/>
      <c r="K905" s="361"/>
      <c r="L905" s="4">
        <f>L908+L906+L911</f>
        <v>102720</v>
      </c>
      <c r="M905" s="4">
        <f>M908+M906+M911</f>
        <v>102524</v>
      </c>
      <c r="N905" s="361">
        <f t="shared" ref="N905:N913" si="144">M905/L905*100</f>
        <v>99.809190031152653</v>
      </c>
      <c r="O905" s="92">
        <f t="shared" si="142"/>
        <v>102720</v>
      </c>
      <c r="P905" s="92">
        <f t="shared" si="143"/>
        <v>102524</v>
      </c>
      <c r="Q905" s="361">
        <f t="shared" si="138"/>
        <v>99.809190031152653</v>
      </c>
    </row>
    <row r="906" spans="2:17" x14ac:dyDescent="0.2">
      <c r="B906" s="18">
        <f t="shared" si="140"/>
        <v>411</v>
      </c>
      <c r="C906" s="3"/>
      <c r="D906" s="3"/>
      <c r="E906" s="3"/>
      <c r="F906" s="90"/>
      <c r="G906" s="5">
        <v>713</v>
      </c>
      <c r="H906" s="6" t="s">
        <v>218</v>
      </c>
      <c r="I906" s="7"/>
      <c r="J906" s="7"/>
      <c r="K906" s="361"/>
      <c r="L906" s="7">
        <f>L907</f>
        <v>60000</v>
      </c>
      <c r="M906" s="7">
        <f>M907</f>
        <v>59804</v>
      </c>
      <c r="N906" s="361">
        <f t="shared" si="144"/>
        <v>99.673333333333332</v>
      </c>
      <c r="O906" s="95">
        <f t="shared" si="142"/>
        <v>60000</v>
      </c>
      <c r="P906" s="95">
        <f t="shared" si="143"/>
        <v>59804</v>
      </c>
      <c r="Q906" s="361">
        <f t="shared" si="138"/>
        <v>99.673333333333332</v>
      </c>
    </row>
    <row r="907" spans="2:17" x14ac:dyDescent="0.2">
      <c r="B907" s="18">
        <f t="shared" si="140"/>
        <v>412</v>
      </c>
      <c r="C907" s="3"/>
      <c r="D907" s="3"/>
      <c r="E907" s="3"/>
      <c r="F907" s="90"/>
      <c r="G907" s="5"/>
      <c r="H907" s="9" t="s">
        <v>715</v>
      </c>
      <c r="I907" s="10"/>
      <c r="J907" s="10"/>
      <c r="K907" s="361"/>
      <c r="L907" s="10">
        <v>60000</v>
      </c>
      <c r="M907" s="10">
        <v>59804</v>
      </c>
      <c r="N907" s="361">
        <f t="shared" si="144"/>
        <v>99.673333333333332</v>
      </c>
      <c r="O907" s="108">
        <f t="shared" si="142"/>
        <v>60000</v>
      </c>
      <c r="P907" s="108">
        <f t="shared" si="143"/>
        <v>59804</v>
      </c>
      <c r="Q907" s="361">
        <f t="shared" ref="Q907:Q919" si="145">P907/O907*100</f>
        <v>99.673333333333332</v>
      </c>
    </row>
    <row r="908" spans="2:17" x14ac:dyDescent="0.2">
      <c r="B908" s="18">
        <f t="shared" si="140"/>
        <v>413</v>
      </c>
      <c r="C908" s="6"/>
      <c r="D908" s="6"/>
      <c r="E908" s="6"/>
      <c r="F908" s="93"/>
      <c r="G908" s="5">
        <v>717</v>
      </c>
      <c r="H908" s="6" t="s">
        <v>182</v>
      </c>
      <c r="I908" s="7"/>
      <c r="J908" s="7"/>
      <c r="K908" s="361"/>
      <c r="L908" s="7">
        <f>SUM(L909:L910)</f>
        <v>42636</v>
      </c>
      <c r="M908" s="7">
        <f>SUM(M909:M910)</f>
        <v>42636</v>
      </c>
      <c r="N908" s="361">
        <f t="shared" si="144"/>
        <v>100</v>
      </c>
      <c r="O908" s="95">
        <f t="shared" si="142"/>
        <v>42636</v>
      </c>
      <c r="P908" s="95">
        <f t="shared" si="143"/>
        <v>42636</v>
      </c>
      <c r="Q908" s="361">
        <f t="shared" si="145"/>
        <v>100</v>
      </c>
    </row>
    <row r="909" spans="2:17" x14ac:dyDescent="0.2">
      <c r="B909" s="18">
        <f t="shared" si="140"/>
        <v>414</v>
      </c>
      <c r="C909" s="9"/>
      <c r="D909" s="9"/>
      <c r="E909" s="9"/>
      <c r="F909" s="194"/>
      <c r="G909" s="106"/>
      <c r="H909" s="9" t="s">
        <v>551</v>
      </c>
      <c r="I909" s="10"/>
      <c r="J909" s="10"/>
      <c r="K909" s="361"/>
      <c r="L909" s="10">
        <v>36000</v>
      </c>
      <c r="M909" s="10">
        <v>36000</v>
      </c>
      <c r="N909" s="361">
        <f t="shared" si="144"/>
        <v>100</v>
      </c>
      <c r="O909" s="108">
        <f t="shared" si="142"/>
        <v>36000</v>
      </c>
      <c r="P909" s="108">
        <f t="shared" si="143"/>
        <v>36000</v>
      </c>
      <c r="Q909" s="361">
        <f t="shared" si="145"/>
        <v>100</v>
      </c>
    </row>
    <row r="910" spans="2:17" x14ac:dyDescent="0.2">
      <c r="B910" s="18">
        <f t="shared" si="140"/>
        <v>415</v>
      </c>
      <c r="C910" s="9"/>
      <c r="D910" s="9"/>
      <c r="E910" s="9"/>
      <c r="F910" s="194"/>
      <c r="G910" s="106"/>
      <c r="H910" s="9" t="s">
        <v>634</v>
      </c>
      <c r="I910" s="10"/>
      <c r="J910" s="10"/>
      <c r="K910" s="361"/>
      <c r="L910" s="10">
        <f>6720-84</f>
        <v>6636</v>
      </c>
      <c r="M910" s="10">
        <v>6636</v>
      </c>
      <c r="N910" s="361">
        <f t="shared" si="144"/>
        <v>100</v>
      </c>
      <c r="O910" s="108">
        <f t="shared" si="142"/>
        <v>6636</v>
      </c>
      <c r="P910" s="108">
        <f t="shared" si="143"/>
        <v>6636</v>
      </c>
      <c r="Q910" s="361">
        <f t="shared" si="145"/>
        <v>100</v>
      </c>
    </row>
    <row r="911" spans="2:17" x14ac:dyDescent="0.2">
      <c r="B911" s="18">
        <f t="shared" si="140"/>
        <v>416</v>
      </c>
      <c r="C911" s="9"/>
      <c r="D911" s="9"/>
      <c r="E911" s="9"/>
      <c r="F911" s="194"/>
      <c r="G911" s="216">
        <v>719</v>
      </c>
      <c r="H911" s="217" t="s">
        <v>579</v>
      </c>
      <c r="I911" s="94"/>
      <c r="J911" s="94"/>
      <c r="K911" s="361"/>
      <c r="L911" s="94">
        <f>L912</f>
        <v>84</v>
      </c>
      <c r="M911" s="7">
        <f>M912</f>
        <v>84</v>
      </c>
      <c r="N911" s="361">
        <f t="shared" si="144"/>
        <v>100</v>
      </c>
      <c r="O911" s="219">
        <f t="shared" si="142"/>
        <v>84</v>
      </c>
      <c r="P911" s="219">
        <f t="shared" si="143"/>
        <v>84</v>
      </c>
      <c r="Q911" s="361">
        <f t="shared" si="145"/>
        <v>100</v>
      </c>
    </row>
    <row r="912" spans="2:17" x14ac:dyDescent="0.2">
      <c r="B912" s="18">
        <f t="shared" si="140"/>
        <v>417</v>
      </c>
      <c r="C912" s="9"/>
      <c r="D912" s="9"/>
      <c r="E912" s="9"/>
      <c r="F912" s="194"/>
      <c r="G912" s="106"/>
      <c r="H912" s="9" t="s">
        <v>716</v>
      </c>
      <c r="I912" s="10"/>
      <c r="J912" s="10"/>
      <c r="K912" s="361"/>
      <c r="L912" s="10">
        <v>84</v>
      </c>
      <c r="M912" s="10">
        <v>84</v>
      </c>
      <c r="N912" s="361">
        <f t="shared" si="144"/>
        <v>100</v>
      </c>
      <c r="O912" s="108">
        <f t="shared" si="142"/>
        <v>84</v>
      </c>
      <c r="P912" s="108">
        <f t="shared" si="143"/>
        <v>84</v>
      </c>
      <c r="Q912" s="361">
        <f t="shared" si="145"/>
        <v>100</v>
      </c>
    </row>
    <row r="913" spans="2:17" ht="15" x14ac:dyDescent="0.25">
      <c r="B913" s="18">
        <f t="shared" si="140"/>
        <v>418</v>
      </c>
      <c r="C913" s="176"/>
      <c r="D913" s="176"/>
      <c r="E913" s="176">
        <v>13</v>
      </c>
      <c r="F913" s="177"/>
      <c r="G913" s="177"/>
      <c r="H913" s="176" t="s">
        <v>12</v>
      </c>
      <c r="I913" s="178">
        <f>I914+I915+I916+I923+I924+I925+I926+I931+I932</f>
        <v>1055396</v>
      </c>
      <c r="J913" s="178">
        <f>J914+J915+J916+J923+J924+J925+J926+J931+J932</f>
        <v>1024641</v>
      </c>
      <c r="K913" s="361">
        <f t="shared" ref="K913:K932" si="146">J913/I913*100</f>
        <v>97.085927936054333</v>
      </c>
      <c r="L913" s="178">
        <f>L933</f>
        <v>160600</v>
      </c>
      <c r="M913" s="178">
        <f>M933</f>
        <v>153264</v>
      </c>
      <c r="N913" s="361">
        <f t="shared" si="144"/>
        <v>95.432129514321289</v>
      </c>
      <c r="O913" s="179">
        <f t="shared" si="142"/>
        <v>1215996</v>
      </c>
      <c r="P913" s="179">
        <f t="shared" si="143"/>
        <v>1177905</v>
      </c>
      <c r="Q913" s="361">
        <f t="shared" si="145"/>
        <v>96.867506143112308</v>
      </c>
    </row>
    <row r="914" spans="2:17" x14ac:dyDescent="0.2">
      <c r="B914" s="18">
        <f t="shared" si="140"/>
        <v>419</v>
      </c>
      <c r="C914" s="3"/>
      <c r="D914" s="3"/>
      <c r="E914" s="3"/>
      <c r="F914" s="90" t="s">
        <v>119</v>
      </c>
      <c r="G914" s="2">
        <v>610</v>
      </c>
      <c r="H914" s="3" t="s">
        <v>131</v>
      </c>
      <c r="I914" s="4">
        <f>210436+13777</f>
        <v>224213</v>
      </c>
      <c r="J914" s="4">
        <v>220373</v>
      </c>
      <c r="K914" s="361">
        <f t="shared" si="146"/>
        <v>98.287342839175253</v>
      </c>
      <c r="L914" s="4"/>
      <c r="M914" s="4"/>
      <c r="N914" s="361"/>
      <c r="O914" s="92">
        <f t="shared" si="142"/>
        <v>224213</v>
      </c>
      <c r="P914" s="92">
        <f t="shared" si="143"/>
        <v>220373</v>
      </c>
      <c r="Q914" s="361">
        <f t="shared" si="145"/>
        <v>98.287342839175253</v>
      </c>
    </row>
    <row r="915" spans="2:17" x14ac:dyDescent="0.2">
      <c r="B915" s="18">
        <f t="shared" si="140"/>
        <v>420</v>
      </c>
      <c r="C915" s="3"/>
      <c r="D915" s="3"/>
      <c r="E915" s="3"/>
      <c r="F915" s="90" t="s">
        <v>119</v>
      </c>
      <c r="G915" s="2">
        <v>620</v>
      </c>
      <c r="H915" s="3" t="s">
        <v>124</v>
      </c>
      <c r="I915" s="4">
        <f>74987+7707</f>
        <v>82694</v>
      </c>
      <c r="J915" s="4">
        <v>81349</v>
      </c>
      <c r="K915" s="361">
        <f t="shared" si="146"/>
        <v>98.373521658161408</v>
      </c>
      <c r="L915" s="4"/>
      <c r="M915" s="4"/>
      <c r="N915" s="361"/>
      <c r="O915" s="92">
        <f t="shared" si="142"/>
        <v>82694</v>
      </c>
      <c r="P915" s="92">
        <f t="shared" si="143"/>
        <v>81349</v>
      </c>
      <c r="Q915" s="361">
        <f t="shared" si="145"/>
        <v>98.373521658161408</v>
      </c>
    </row>
    <row r="916" spans="2:17" x14ac:dyDescent="0.2">
      <c r="B916" s="18">
        <f t="shared" si="140"/>
        <v>421</v>
      </c>
      <c r="C916" s="3"/>
      <c r="D916" s="3"/>
      <c r="E916" s="3"/>
      <c r="F916" s="90" t="s">
        <v>119</v>
      </c>
      <c r="G916" s="2">
        <v>630</v>
      </c>
      <c r="H916" s="3" t="s">
        <v>121</v>
      </c>
      <c r="I916" s="4">
        <f>I922+I919+I918+I917+I920+I921</f>
        <v>107532</v>
      </c>
      <c r="J916" s="4">
        <f>J922+J919+J918+J917+J920+J921</f>
        <v>106972</v>
      </c>
      <c r="K916" s="361">
        <f t="shared" si="146"/>
        <v>99.479224788900041</v>
      </c>
      <c r="L916" s="4"/>
      <c r="M916" s="4"/>
      <c r="N916" s="361"/>
      <c r="O916" s="92">
        <f t="shared" si="142"/>
        <v>107532</v>
      </c>
      <c r="P916" s="92">
        <f t="shared" si="143"/>
        <v>106972</v>
      </c>
      <c r="Q916" s="361">
        <f t="shared" si="145"/>
        <v>99.479224788900041</v>
      </c>
    </row>
    <row r="917" spans="2:17" x14ac:dyDescent="0.2">
      <c r="B917" s="18">
        <f t="shared" si="140"/>
        <v>422</v>
      </c>
      <c r="C917" s="6"/>
      <c r="D917" s="6"/>
      <c r="E917" s="6"/>
      <c r="F917" s="93"/>
      <c r="G917" s="5">
        <v>632</v>
      </c>
      <c r="H917" s="6" t="s">
        <v>134</v>
      </c>
      <c r="I917" s="7">
        <f>150+250+250+2000+6300+35500+600+800+4000-24730-3000</f>
        <v>22120</v>
      </c>
      <c r="J917" s="7">
        <v>22120</v>
      </c>
      <c r="K917" s="361">
        <f t="shared" si="146"/>
        <v>100</v>
      </c>
      <c r="L917" s="7"/>
      <c r="M917" s="7"/>
      <c r="N917" s="361"/>
      <c r="O917" s="95">
        <f t="shared" si="142"/>
        <v>22120</v>
      </c>
      <c r="P917" s="95">
        <f t="shared" si="143"/>
        <v>22120</v>
      </c>
      <c r="Q917" s="361">
        <f t="shared" si="145"/>
        <v>100</v>
      </c>
    </row>
    <row r="918" spans="2:17" x14ac:dyDescent="0.2">
      <c r="B918" s="18">
        <f t="shared" si="140"/>
        <v>423</v>
      </c>
      <c r="C918" s="6"/>
      <c r="D918" s="6"/>
      <c r="E918" s="6"/>
      <c r="F918" s="93"/>
      <c r="G918" s="5">
        <v>633</v>
      </c>
      <c r="H918" s="6" t="s">
        <v>125</v>
      </c>
      <c r="I918" s="7">
        <f>300+1000+350+300+150+700+1200+600+150+7765</f>
        <v>12515</v>
      </c>
      <c r="J918" s="7">
        <v>12515</v>
      </c>
      <c r="K918" s="361">
        <f t="shared" si="146"/>
        <v>100</v>
      </c>
      <c r="L918" s="7"/>
      <c r="M918" s="7"/>
      <c r="N918" s="361"/>
      <c r="O918" s="95">
        <f t="shared" si="142"/>
        <v>12515</v>
      </c>
      <c r="P918" s="95">
        <f t="shared" si="143"/>
        <v>12515</v>
      </c>
      <c r="Q918" s="361">
        <f t="shared" si="145"/>
        <v>100</v>
      </c>
    </row>
    <row r="919" spans="2:17" x14ac:dyDescent="0.2">
      <c r="B919" s="18">
        <f t="shared" si="140"/>
        <v>424</v>
      </c>
      <c r="C919" s="6"/>
      <c r="D919" s="6"/>
      <c r="E919" s="6"/>
      <c r="F919" s="93"/>
      <c r="G919" s="5">
        <v>634</v>
      </c>
      <c r="H919" s="6" t="s">
        <v>132</v>
      </c>
      <c r="I919" s="7">
        <v>1400</v>
      </c>
      <c r="J919" s="7">
        <v>840</v>
      </c>
      <c r="K919" s="361">
        <f t="shared" si="146"/>
        <v>60</v>
      </c>
      <c r="L919" s="7"/>
      <c r="M919" s="7"/>
      <c r="N919" s="361"/>
      <c r="O919" s="95">
        <f t="shared" si="142"/>
        <v>1400</v>
      </c>
      <c r="P919" s="95">
        <f t="shared" si="143"/>
        <v>840</v>
      </c>
      <c r="Q919" s="361">
        <f t="shared" si="145"/>
        <v>60</v>
      </c>
    </row>
    <row r="920" spans="2:17" x14ac:dyDescent="0.2">
      <c r="B920" s="18">
        <f t="shared" si="140"/>
        <v>425</v>
      </c>
      <c r="C920" s="6"/>
      <c r="D920" s="6"/>
      <c r="E920" s="6"/>
      <c r="F920" s="93"/>
      <c r="G920" s="5">
        <v>635</v>
      </c>
      <c r="H920" s="6" t="s">
        <v>133</v>
      </c>
      <c r="I920" s="7">
        <v>57747</v>
      </c>
      <c r="J920" s="7">
        <v>57747</v>
      </c>
      <c r="K920" s="361">
        <f t="shared" si="146"/>
        <v>100</v>
      </c>
      <c r="L920" s="7"/>
      <c r="M920" s="7"/>
      <c r="N920" s="361"/>
      <c r="O920" s="95"/>
      <c r="P920" s="95">
        <f t="shared" ref="P920:P951" si="147">J920+M920</f>
        <v>57747</v>
      </c>
      <c r="Q920" s="361"/>
    </row>
    <row r="921" spans="2:17" x14ac:dyDescent="0.2">
      <c r="B921" s="18">
        <f t="shared" si="140"/>
        <v>426</v>
      </c>
      <c r="C921" s="6"/>
      <c r="D921" s="6"/>
      <c r="E921" s="6"/>
      <c r="F921" s="93"/>
      <c r="G921" s="5">
        <v>636</v>
      </c>
      <c r="H921" s="6" t="s">
        <v>126</v>
      </c>
      <c r="I921" s="7">
        <v>100</v>
      </c>
      <c r="J921" s="7">
        <v>100</v>
      </c>
      <c r="K921" s="361">
        <f t="shared" si="146"/>
        <v>100</v>
      </c>
      <c r="L921" s="7"/>
      <c r="M921" s="7"/>
      <c r="N921" s="361"/>
      <c r="O921" s="95"/>
      <c r="P921" s="95">
        <f t="shared" si="147"/>
        <v>100</v>
      </c>
      <c r="Q921" s="361"/>
    </row>
    <row r="922" spans="2:17" x14ac:dyDescent="0.2">
      <c r="B922" s="18">
        <f t="shared" si="140"/>
        <v>427</v>
      </c>
      <c r="C922" s="6"/>
      <c r="D922" s="6"/>
      <c r="E922" s="6"/>
      <c r="F922" s="93"/>
      <c r="G922" s="5">
        <v>637</v>
      </c>
      <c r="H922" s="6" t="s">
        <v>122</v>
      </c>
      <c r="I922" s="7">
        <f>1150+6000+260+2600+600+900+2140</f>
        <v>13650</v>
      </c>
      <c r="J922" s="7">
        <v>13650</v>
      </c>
      <c r="K922" s="361">
        <f t="shared" si="146"/>
        <v>100</v>
      </c>
      <c r="L922" s="7"/>
      <c r="M922" s="7"/>
      <c r="N922" s="361"/>
      <c r="O922" s="95">
        <f t="shared" ref="O922:O953" si="148">I922+L922</f>
        <v>13650</v>
      </c>
      <c r="P922" s="95">
        <f t="shared" si="147"/>
        <v>13650</v>
      </c>
      <c r="Q922" s="361">
        <f t="shared" ref="Q922:Q985" si="149">P922/O922*100</f>
        <v>100</v>
      </c>
    </row>
    <row r="923" spans="2:17" x14ac:dyDescent="0.2">
      <c r="B923" s="18">
        <f t="shared" si="140"/>
        <v>428</v>
      </c>
      <c r="C923" s="3"/>
      <c r="D923" s="3"/>
      <c r="E923" s="3"/>
      <c r="F923" s="90" t="s">
        <v>119</v>
      </c>
      <c r="G923" s="2">
        <v>640</v>
      </c>
      <c r="H923" s="3" t="s">
        <v>129</v>
      </c>
      <c r="I923" s="4">
        <f>4081+600+500-4081</f>
        <v>1100</v>
      </c>
      <c r="J923" s="4">
        <v>1100</v>
      </c>
      <c r="K923" s="361">
        <f t="shared" si="146"/>
        <v>100</v>
      </c>
      <c r="L923" s="4"/>
      <c r="M923" s="4"/>
      <c r="N923" s="361"/>
      <c r="O923" s="92">
        <f t="shared" si="148"/>
        <v>1100</v>
      </c>
      <c r="P923" s="92">
        <f t="shared" si="147"/>
        <v>1100</v>
      </c>
      <c r="Q923" s="361">
        <f t="shared" si="149"/>
        <v>100</v>
      </c>
    </row>
    <row r="924" spans="2:17" x14ac:dyDescent="0.2">
      <c r="B924" s="18">
        <f t="shared" si="140"/>
        <v>429</v>
      </c>
      <c r="C924" s="3"/>
      <c r="D924" s="3"/>
      <c r="E924" s="3"/>
      <c r="F924" s="90" t="s">
        <v>108</v>
      </c>
      <c r="G924" s="2">
        <v>610</v>
      </c>
      <c r="H924" s="3" t="s">
        <v>131</v>
      </c>
      <c r="I924" s="4">
        <f>353116+100-30237+31513</f>
        <v>354492</v>
      </c>
      <c r="J924" s="4">
        <v>354492</v>
      </c>
      <c r="K924" s="361">
        <f t="shared" si="146"/>
        <v>100</v>
      </c>
      <c r="L924" s="4"/>
      <c r="M924" s="4"/>
      <c r="N924" s="361"/>
      <c r="O924" s="92">
        <f t="shared" si="148"/>
        <v>354492</v>
      </c>
      <c r="P924" s="92">
        <f t="shared" si="147"/>
        <v>354492</v>
      </c>
      <c r="Q924" s="361">
        <f t="shared" si="149"/>
        <v>100</v>
      </c>
    </row>
    <row r="925" spans="2:17" x14ac:dyDescent="0.2">
      <c r="B925" s="18">
        <f t="shared" si="140"/>
        <v>430</v>
      </c>
      <c r="C925" s="3"/>
      <c r="D925" s="3"/>
      <c r="E925" s="3"/>
      <c r="F925" s="90" t="s">
        <v>108</v>
      </c>
      <c r="G925" s="2">
        <v>620</v>
      </c>
      <c r="H925" s="3" t="s">
        <v>124</v>
      </c>
      <c r="I925" s="4">
        <f>124679+35-9244+12423</f>
        <v>127893</v>
      </c>
      <c r="J925" s="4">
        <v>127893</v>
      </c>
      <c r="K925" s="361">
        <f t="shared" si="146"/>
        <v>100</v>
      </c>
      <c r="L925" s="4"/>
      <c r="M925" s="4"/>
      <c r="N925" s="361"/>
      <c r="O925" s="92">
        <f t="shared" si="148"/>
        <v>127893</v>
      </c>
      <c r="P925" s="92">
        <f t="shared" si="147"/>
        <v>127893</v>
      </c>
      <c r="Q925" s="361">
        <f t="shared" si="149"/>
        <v>100</v>
      </c>
    </row>
    <row r="926" spans="2:17" x14ac:dyDescent="0.2">
      <c r="B926" s="18">
        <f t="shared" si="140"/>
        <v>431</v>
      </c>
      <c r="C926" s="3"/>
      <c r="D926" s="3"/>
      <c r="E926" s="3"/>
      <c r="F926" s="90" t="s">
        <v>108</v>
      </c>
      <c r="G926" s="2">
        <v>630</v>
      </c>
      <c r="H926" s="3" t="s">
        <v>121</v>
      </c>
      <c r="I926" s="4">
        <f>SUM(I927:I930)</f>
        <v>134830</v>
      </c>
      <c r="J926" s="4">
        <f>SUM(J927:J930)</f>
        <v>109820</v>
      </c>
      <c r="K926" s="361">
        <f t="shared" si="146"/>
        <v>81.450715716086918</v>
      </c>
      <c r="L926" s="4"/>
      <c r="M926" s="4"/>
      <c r="N926" s="361"/>
      <c r="O926" s="92">
        <f t="shared" si="148"/>
        <v>134830</v>
      </c>
      <c r="P926" s="92">
        <f t="shared" si="147"/>
        <v>109820</v>
      </c>
      <c r="Q926" s="361">
        <f t="shared" si="149"/>
        <v>81.450715716086918</v>
      </c>
    </row>
    <row r="927" spans="2:17" x14ac:dyDescent="0.2">
      <c r="B927" s="18">
        <f t="shared" si="140"/>
        <v>432</v>
      </c>
      <c r="C927" s="6"/>
      <c r="D927" s="6"/>
      <c r="E927" s="6"/>
      <c r="F927" s="93"/>
      <c r="G927" s="5">
        <v>632</v>
      </c>
      <c r="H927" s="6" t="s">
        <v>134</v>
      </c>
      <c r="I927" s="7">
        <f>120+300+250+5000+37500+40000+3000+600+600+1600-24730-4000</f>
        <v>60240</v>
      </c>
      <c r="J927" s="7">
        <v>47131</v>
      </c>
      <c r="K927" s="361">
        <f t="shared" si="146"/>
        <v>78.23871181938911</v>
      </c>
      <c r="L927" s="7"/>
      <c r="M927" s="7"/>
      <c r="N927" s="361"/>
      <c r="O927" s="95">
        <f t="shared" si="148"/>
        <v>60240</v>
      </c>
      <c r="P927" s="95">
        <f t="shared" si="147"/>
        <v>47131</v>
      </c>
      <c r="Q927" s="361">
        <f t="shared" si="149"/>
        <v>78.23871181938911</v>
      </c>
    </row>
    <row r="928" spans="2:17" x14ac:dyDescent="0.2">
      <c r="B928" s="18">
        <f t="shared" si="140"/>
        <v>433</v>
      </c>
      <c r="C928" s="6"/>
      <c r="D928" s="6"/>
      <c r="E928" s="6"/>
      <c r="F928" s="93"/>
      <c r="G928" s="5">
        <v>633</v>
      </c>
      <c r="H928" s="6" t="s">
        <v>125</v>
      </c>
      <c r="I928" s="7">
        <f>500+2000+600+400+300+250+350+1200+200+300+1200+400+9350</f>
        <v>17050</v>
      </c>
      <c r="J928" s="7">
        <v>17050</v>
      </c>
      <c r="K928" s="361">
        <f t="shared" si="146"/>
        <v>100</v>
      </c>
      <c r="L928" s="7"/>
      <c r="M928" s="7"/>
      <c r="N928" s="361"/>
      <c r="O928" s="95">
        <f t="shared" si="148"/>
        <v>17050</v>
      </c>
      <c r="P928" s="95">
        <f t="shared" si="147"/>
        <v>17050</v>
      </c>
      <c r="Q928" s="361">
        <f t="shared" si="149"/>
        <v>100</v>
      </c>
    </row>
    <row r="929" spans="2:17" x14ac:dyDescent="0.2">
      <c r="B929" s="18">
        <f t="shared" si="140"/>
        <v>434</v>
      </c>
      <c r="C929" s="6"/>
      <c r="D929" s="6"/>
      <c r="E929" s="6"/>
      <c r="F929" s="93"/>
      <c r="G929" s="5">
        <v>635</v>
      </c>
      <c r="H929" s="6" t="s">
        <v>133</v>
      </c>
      <c r="I929" s="7">
        <f>20000+4000+650+2000+3560</f>
        <v>30210</v>
      </c>
      <c r="J929" s="7">
        <v>26649</v>
      </c>
      <c r="K929" s="361">
        <f t="shared" si="146"/>
        <v>88.212512413108243</v>
      </c>
      <c r="L929" s="7"/>
      <c r="M929" s="7"/>
      <c r="N929" s="361"/>
      <c r="O929" s="95">
        <f t="shared" si="148"/>
        <v>30210</v>
      </c>
      <c r="P929" s="95">
        <f t="shared" si="147"/>
        <v>26649</v>
      </c>
      <c r="Q929" s="361">
        <f t="shared" si="149"/>
        <v>88.212512413108243</v>
      </c>
    </row>
    <row r="930" spans="2:17" x14ac:dyDescent="0.2">
      <c r="B930" s="18">
        <f t="shared" si="140"/>
        <v>435</v>
      </c>
      <c r="C930" s="6"/>
      <c r="D930" s="6"/>
      <c r="E930" s="6"/>
      <c r="F930" s="93"/>
      <c r="G930" s="5">
        <v>637</v>
      </c>
      <c r="H930" s="6" t="s">
        <v>122</v>
      </c>
      <c r="I930" s="7">
        <f>850+80+7000+500+1500+150+10450+1400+650+2000+2750</f>
        <v>27330</v>
      </c>
      <c r="J930" s="7">
        <v>18990</v>
      </c>
      <c r="K930" s="361">
        <f t="shared" si="146"/>
        <v>69.484083424807906</v>
      </c>
      <c r="L930" s="7"/>
      <c r="M930" s="7"/>
      <c r="N930" s="361"/>
      <c r="O930" s="95">
        <f t="shared" si="148"/>
        <v>27330</v>
      </c>
      <c r="P930" s="95">
        <f t="shared" si="147"/>
        <v>18990</v>
      </c>
      <c r="Q930" s="361">
        <f t="shared" si="149"/>
        <v>69.484083424807906</v>
      </c>
    </row>
    <row r="931" spans="2:17" x14ac:dyDescent="0.2">
      <c r="B931" s="18">
        <f t="shared" si="140"/>
        <v>436</v>
      </c>
      <c r="C931" s="3"/>
      <c r="D931" s="3"/>
      <c r="E931" s="3"/>
      <c r="F931" s="90" t="s">
        <v>108</v>
      </c>
      <c r="G931" s="2">
        <v>640</v>
      </c>
      <c r="H931" s="3" t="s">
        <v>129</v>
      </c>
      <c r="I931" s="4">
        <f>3590+500+400-2323</f>
        <v>2167</v>
      </c>
      <c r="J931" s="4">
        <v>2167</v>
      </c>
      <c r="K931" s="361">
        <f t="shared" si="146"/>
        <v>100</v>
      </c>
      <c r="L931" s="4"/>
      <c r="M931" s="4"/>
      <c r="N931" s="361"/>
      <c r="O931" s="92">
        <f t="shared" si="148"/>
        <v>2167</v>
      </c>
      <c r="P931" s="92">
        <f t="shared" si="147"/>
        <v>2167</v>
      </c>
      <c r="Q931" s="361">
        <f t="shared" si="149"/>
        <v>100</v>
      </c>
    </row>
    <row r="932" spans="2:17" x14ac:dyDescent="0.2">
      <c r="B932" s="18">
        <f t="shared" si="140"/>
        <v>437</v>
      </c>
      <c r="C932" s="3"/>
      <c r="D932" s="3"/>
      <c r="E932" s="3"/>
      <c r="F932" s="90"/>
      <c r="G932" s="2">
        <v>600</v>
      </c>
      <c r="H932" s="3" t="s">
        <v>625</v>
      </c>
      <c r="I932" s="4">
        <v>20475</v>
      </c>
      <c r="J932" s="4">
        <v>20475</v>
      </c>
      <c r="K932" s="361">
        <f t="shared" si="146"/>
        <v>100</v>
      </c>
      <c r="L932" s="4"/>
      <c r="M932" s="4"/>
      <c r="N932" s="361"/>
      <c r="O932" s="92">
        <f t="shared" si="148"/>
        <v>20475</v>
      </c>
      <c r="P932" s="92">
        <f t="shared" si="147"/>
        <v>20475</v>
      </c>
      <c r="Q932" s="361">
        <f t="shared" si="149"/>
        <v>100</v>
      </c>
    </row>
    <row r="933" spans="2:17" x14ac:dyDescent="0.2">
      <c r="B933" s="18">
        <f t="shared" si="140"/>
        <v>438</v>
      </c>
      <c r="C933" s="3"/>
      <c r="D933" s="3"/>
      <c r="E933" s="3"/>
      <c r="F933" s="90" t="s">
        <v>108</v>
      </c>
      <c r="G933" s="2">
        <v>710</v>
      </c>
      <c r="H933" s="3" t="s">
        <v>175</v>
      </c>
      <c r="I933" s="4"/>
      <c r="J933" s="4"/>
      <c r="K933" s="361"/>
      <c r="L933" s="4">
        <f>L934</f>
        <v>160600</v>
      </c>
      <c r="M933" s="4">
        <f>M934</f>
        <v>153264</v>
      </c>
      <c r="N933" s="361">
        <f t="shared" ref="N933:N938" si="150">M933/L933*100</f>
        <v>95.432129514321289</v>
      </c>
      <c r="O933" s="92">
        <f t="shared" si="148"/>
        <v>160600</v>
      </c>
      <c r="P933" s="92">
        <f t="shared" si="147"/>
        <v>153264</v>
      </c>
      <c r="Q933" s="361">
        <f t="shared" si="149"/>
        <v>95.432129514321289</v>
      </c>
    </row>
    <row r="934" spans="2:17" x14ac:dyDescent="0.2">
      <c r="B934" s="18">
        <f t="shared" si="140"/>
        <v>439</v>
      </c>
      <c r="C934" s="6"/>
      <c r="D934" s="6"/>
      <c r="E934" s="6"/>
      <c r="F934" s="93"/>
      <c r="G934" s="5">
        <v>717</v>
      </c>
      <c r="H934" s="6" t="s">
        <v>182</v>
      </c>
      <c r="I934" s="7"/>
      <c r="J934" s="7"/>
      <c r="K934" s="361"/>
      <c r="L934" s="7">
        <f>SUM(L935:L937)</f>
        <v>160600</v>
      </c>
      <c r="M934" s="7">
        <f>SUM(M935:M937)</f>
        <v>153264</v>
      </c>
      <c r="N934" s="361">
        <f t="shared" si="150"/>
        <v>95.432129514321289</v>
      </c>
      <c r="O934" s="95">
        <f t="shared" si="148"/>
        <v>160600</v>
      </c>
      <c r="P934" s="95">
        <f t="shared" si="147"/>
        <v>153264</v>
      </c>
      <c r="Q934" s="361">
        <f t="shared" si="149"/>
        <v>95.432129514321289</v>
      </c>
    </row>
    <row r="935" spans="2:17" x14ac:dyDescent="0.2">
      <c r="B935" s="18">
        <f t="shared" si="140"/>
        <v>440</v>
      </c>
      <c r="C935" s="9"/>
      <c r="D935" s="9"/>
      <c r="E935" s="9"/>
      <c r="F935" s="194"/>
      <c r="G935" s="106"/>
      <c r="H935" s="9" t="s">
        <v>355</v>
      </c>
      <c r="I935" s="10"/>
      <c r="J935" s="10"/>
      <c r="K935" s="361"/>
      <c r="L935" s="10">
        <v>65000</v>
      </c>
      <c r="M935" s="10">
        <v>64986</v>
      </c>
      <c r="N935" s="361">
        <f t="shared" si="150"/>
        <v>99.978461538461545</v>
      </c>
      <c r="O935" s="108">
        <f t="shared" si="148"/>
        <v>65000</v>
      </c>
      <c r="P935" s="108">
        <f t="shared" si="147"/>
        <v>64986</v>
      </c>
      <c r="Q935" s="361">
        <f t="shared" si="149"/>
        <v>99.978461538461545</v>
      </c>
    </row>
    <row r="936" spans="2:17" x14ac:dyDescent="0.2">
      <c r="B936" s="18">
        <f t="shared" si="140"/>
        <v>441</v>
      </c>
      <c r="C936" s="9"/>
      <c r="D936" s="9"/>
      <c r="E936" s="9"/>
      <c r="F936" s="194"/>
      <c r="G936" s="106"/>
      <c r="H936" s="9" t="s">
        <v>527</v>
      </c>
      <c r="I936" s="10"/>
      <c r="J936" s="10"/>
      <c r="K936" s="361"/>
      <c r="L936" s="10">
        <f>52000+13000</f>
        <v>65000</v>
      </c>
      <c r="M936" s="10">
        <v>57691</v>
      </c>
      <c r="N936" s="361">
        <f t="shared" si="150"/>
        <v>88.755384615384614</v>
      </c>
      <c r="O936" s="108">
        <f t="shared" si="148"/>
        <v>65000</v>
      </c>
      <c r="P936" s="108">
        <f t="shared" si="147"/>
        <v>57691</v>
      </c>
      <c r="Q936" s="361">
        <f t="shared" si="149"/>
        <v>88.755384615384614</v>
      </c>
    </row>
    <row r="937" spans="2:17" x14ac:dyDescent="0.2">
      <c r="B937" s="18">
        <f t="shared" si="140"/>
        <v>442</v>
      </c>
      <c r="C937" s="9"/>
      <c r="D937" s="9"/>
      <c r="E937" s="9"/>
      <c r="F937" s="194"/>
      <c r="G937" s="106"/>
      <c r="H937" s="9" t="s">
        <v>531</v>
      </c>
      <c r="I937" s="10"/>
      <c r="J937" s="10"/>
      <c r="K937" s="361"/>
      <c r="L937" s="10">
        <f>27000+3600</f>
        <v>30600</v>
      </c>
      <c r="M937" s="10">
        <v>30587</v>
      </c>
      <c r="N937" s="361">
        <f t="shared" si="150"/>
        <v>99.957516339869272</v>
      </c>
      <c r="O937" s="108">
        <f t="shared" si="148"/>
        <v>30600</v>
      </c>
      <c r="P937" s="108">
        <f t="shared" si="147"/>
        <v>30587</v>
      </c>
      <c r="Q937" s="361">
        <f t="shared" si="149"/>
        <v>99.957516339869272</v>
      </c>
    </row>
    <row r="938" spans="2:17" ht="15" x14ac:dyDescent="0.2">
      <c r="B938" s="18">
        <f t="shared" si="140"/>
        <v>443</v>
      </c>
      <c r="C938" s="82">
        <v>3</v>
      </c>
      <c r="D938" s="495" t="s">
        <v>159</v>
      </c>
      <c r="E938" s="496"/>
      <c r="F938" s="496"/>
      <c r="G938" s="496"/>
      <c r="H938" s="496"/>
      <c r="I938" s="83">
        <f>I939+I948+I970+I978+I987+I996+I1005+I1014+I1023+I1032+I960</f>
        <v>5556192</v>
      </c>
      <c r="J938" s="83">
        <f>J939+J948+J970+J978+J987+J996+J1005+J1014+J1023+J1032+J960</f>
        <v>5464930</v>
      </c>
      <c r="K938" s="361">
        <f t="shared" ref="K938:K969" si="151">J938/I938*100</f>
        <v>98.357472167988433</v>
      </c>
      <c r="L938" s="83">
        <f>L1032</f>
        <v>61000</v>
      </c>
      <c r="M938" s="83">
        <f>M1032</f>
        <v>60860</v>
      </c>
      <c r="N938" s="361">
        <f t="shared" si="150"/>
        <v>99.770491803278688</v>
      </c>
      <c r="O938" s="99">
        <f t="shared" si="148"/>
        <v>5617192</v>
      </c>
      <c r="P938" s="99">
        <f t="shared" si="147"/>
        <v>5525790</v>
      </c>
      <c r="Q938" s="361">
        <f t="shared" si="149"/>
        <v>98.372816880747536</v>
      </c>
    </row>
    <row r="939" spans="2:17" x14ac:dyDescent="0.2">
      <c r="B939" s="18">
        <f t="shared" si="140"/>
        <v>444</v>
      </c>
      <c r="C939" s="3"/>
      <c r="D939" s="3"/>
      <c r="E939" s="3"/>
      <c r="F939" s="90" t="s">
        <v>158</v>
      </c>
      <c r="G939" s="2">
        <v>640</v>
      </c>
      <c r="H939" s="3" t="s">
        <v>129</v>
      </c>
      <c r="I939" s="4">
        <f>SUM(I940:I947)</f>
        <v>1171095</v>
      </c>
      <c r="J939" s="4">
        <f>SUM(J940:J947)</f>
        <v>1171095</v>
      </c>
      <c r="K939" s="361">
        <f t="shared" si="151"/>
        <v>100</v>
      </c>
      <c r="L939" s="4"/>
      <c r="M939" s="4"/>
      <c r="N939" s="361"/>
      <c r="O939" s="92">
        <f t="shared" si="148"/>
        <v>1171095</v>
      </c>
      <c r="P939" s="92">
        <f t="shared" si="147"/>
        <v>1171095</v>
      </c>
      <c r="Q939" s="361">
        <f t="shared" si="149"/>
        <v>100</v>
      </c>
    </row>
    <row r="940" spans="2:17" x14ac:dyDescent="0.2">
      <c r="B940" s="18">
        <f t="shared" si="140"/>
        <v>445</v>
      </c>
      <c r="C940" s="67"/>
      <c r="D940" s="67"/>
      <c r="E940" s="67"/>
      <c r="F940" s="106"/>
      <c r="G940" s="106"/>
      <c r="H940" s="9" t="s">
        <v>372</v>
      </c>
      <c r="I940" s="10">
        <f>9438-251-155</f>
        <v>9032</v>
      </c>
      <c r="J940" s="10">
        <v>9032</v>
      </c>
      <c r="K940" s="361">
        <f t="shared" si="151"/>
        <v>100</v>
      </c>
      <c r="L940" s="10"/>
      <c r="M940" s="10"/>
      <c r="N940" s="361"/>
      <c r="O940" s="108">
        <f t="shared" si="148"/>
        <v>9032</v>
      </c>
      <c r="P940" s="108">
        <f t="shared" si="147"/>
        <v>9032</v>
      </c>
      <c r="Q940" s="361">
        <f t="shared" si="149"/>
        <v>100</v>
      </c>
    </row>
    <row r="941" spans="2:17" x14ac:dyDescent="0.2">
      <c r="B941" s="18">
        <f t="shared" si="140"/>
        <v>446</v>
      </c>
      <c r="C941" s="67"/>
      <c r="D941" s="67"/>
      <c r="E941" s="67"/>
      <c r="F941" s="106"/>
      <c r="G941" s="106"/>
      <c r="H941" s="9" t="s">
        <v>373</v>
      </c>
      <c r="I941" s="10">
        <f>51480-1367-847</f>
        <v>49266</v>
      </c>
      <c r="J941" s="10">
        <v>49266</v>
      </c>
      <c r="K941" s="361">
        <f t="shared" si="151"/>
        <v>100</v>
      </c>
      <c r="L941" s="10"/>
      <c r="M941" s="10"/>
      <c r="N941" s="361"/>
      <c r="O941" s="108">
        <f t="shared" si="148"/>
        <v>49266</v>
      </c>
      <c r="P941" s="108">
        <f t="shared" si="147"/>
        <v>49266</v>
      </c>
      <c r="Q941" s="361">
        <f t="shared" si="149"/>
        <v>100</v>
      </c>
    </row>
    <row r="942" spans="2:17" x14ac:dyDescent="0.2">
      <c r="B942" s="18">
        <f t="shared" si="140"/>
        <v>447</v>
      </c>
      <c r="C942" s="67"/>
      <c r="D942" s="67"/>
      <c r="E942" s="67"/>
      <c r="F942" s="106"/>
      <c r="G942" s="106"/>
      <c r="H942" s="9" t="s">
        <v>374</v>
      </c>
      <c r="I942" s="10">
        <f>71280-1892-1174</f>
        <v>68214</v>
      </c>
      <c r="J942" s="10">
        <v>68214</v>
      </c>
      <c r="K942" s="361">
        <f t="shared" si="151"/>
        <v>100</v>
      </c>
      <c r="L942" s="10"/>
      <c r="M942" s="10"/>
      <c r="N942" s="361"/>
      <c r="O942" s="108">
        <f t="shared" si="148"/>
        <v>68214</v>
      </c>
      <c r="P942" s="108">
        <f t="shared" si="147"/>
        <v>68214</v>
      </c>
      <c r="Q942" s="361">
        <f t="shared" si="149"/>
        <v>100</v>
      </c>
    </row>
    <row r="943" spans="2:17" x14ac:dyDescent="0.2">
      <c r="B943" s="18">
        <f t="shared" si="140"/>
        <v>448</v>
      </c>
      <c r="C943" s="67"/>
      <c r="D943" s="67"/>
      <c r="E943" s="67"/>
      <c r="F943" s="106"/>
      <c r="G943" s="106"/>
      <c r="H943" s="9" t="s">
        <v>375</v>
      </c>
      <c r="I943" s="10">
        <f>246675-6545-4066</f>
        <v>236064</v>
      </c>
      <c r="J943" s="10">
        <v>236064</v>
      </c>
      <c r="K943" s="361">
        <f t="shared" si="151"/>
        <v>100</v>
      </c>
      <c r="L943" s="10"/>
      <c r="M943" s="10"/>
      <c r="N943" s="361"/>
      <c r="O943" s="108">
        <f t="shared" si="148"/>
        <v>236064</v>
      </c>
      <c r="P943" s="108">
        <f t="shared" si="147"/>
        <v>236064</v>
      </c>
      <c r="Q943" s="361">
        <f t="shared" si="149"/>
        <v>100</v>
      </c>
    </row>
    <row r="944" spans="2:17" x14ac:dyDescent="0.2">
      <c r="B944" s="18">
        <f t="shared" si="140"/>
        <v>449</v>
      </c>
      <c r="C944" s="67"/>
      <c r="D944" s="67"/>
      <c r="E944" s="67"/>
      <c r="F944" s="106"/>
      <c r="G944" s="106"/>
      <c r="H944" s="9" t="s">
        <v>376</v>
      </c>
      <c r="I944" s="10">
        <f>725835-19268-11959</f>
        <v>694608</v>
      </c>
      <c r="J944" s="10">
        <v>694608</v>
      </c>
      <c r="K944" s="361">
        <f t="shared" si="151"/>
        <v>100</v>
      </c>
      <c r="L944" s="10"/>
      <c r="M944" s="10"/>
      <c r="N944" s="361"/>
      <c r="O944" s="108">
        <f t="shared" si="148"/>
        <v>694608</v>
      </c>
      <c r="P944" s="108">
        <f t="shared" si="147"/>
        <v>694608</v>
      </c>
      <c r="Q944" s="361">
        <f t="shared" si="149"/>
        <v>100</v>
      </c>
    </row>
    <row r="945" spans="2:17" x14ac:dyDescent="0.2">
      <c r="B945" s="18">
        <f t="shared" ref="B945:B1008" si="152">B944+1</f>
        <v>450</v>
      </c>
      <c r="C945" s="67"/>
      <c r="D945" s="67"/>
      <c r="E945" s="67"/>
      <c r="F945" s="106"/>
      <c r="G945" s="106"/>
      <c r="H945" s="9" t="s">
        <v>377</v>
      </c>
      <c r="I945" s="10">
        <f>29271-777-482</f>
        <v>28012</v>
      </c>
      <c r="J945" s="10">
        <v>28012</v>
      </c>
      <c r="K945" s="361">
        <f t="shared" si="151"/>
        <v>100</v>
      </c>
      <c r="L945" s="10"/>
      <c r="M945" s="10"/>
      <c r="N945" s="361"/>
      <c r="O945" s="108">
        <f t="shared" si="148"/>
        <v>28012</v>
      </c>
      <c r="P945" s="108">
        <f t="shared" si="147"/>
        <v>28012</v>
      </c>
      <c r="Q945" s="361">
        <f t="shared" si="149"/>
        <v>100</v>
      </c>
    </row>
    <row r="946" spans="2:17" x14ac:dyDescent="0.2">
      <c r="B946" s="18">
        <f t="shared" si="152"/>
        <v>451</v>
      </c>
      <c r="C946" s="67"/>
      <c r="D946" s="67"/>
      <c r="E946" s="67"/>
      <c r="F946" s="106"/>
      <c r="G946" s="106"/>
      <c r="H946" s="9" t="s">
        <v>291</v>
      </c>
      <c r="I946" s="10">
        <f>15840-420-261</f>
        <v>15159</v>
      </c>
      <c r="J946" s="10">
        <v>15159</v>
      </c>
      <c r="K946" s="361">
        <f t="shared" si="151"/>
        <v>100</v>
      </c>
      <c r="L946" s="10"/>
      <c r="M946" s="10"/>
      <c r="N946" s="361"/>
      <c r="O946" s="108">
        <f t="shared" si="148"/>
        <v>15159</v>
      </c>
      <c r="P946" s="108">
        <f t="shared" si="147"/>
        <v>15159</v>
      </c>
      <c r="Q946" s="361">
        <f t="shared" si="149"/>
        <v>100</v>
      </c>
    </row>
    <row r="947" spans="2:17" x14ac:dyDescent="0.2">
      <c r="B947" s="18">
        <f t="shared" si="152"/>
        <v>452</v>
      </c>
      <c r="C947" s="67"/>
      <c r="D947" s="67"/>
      <c r="E947" s="67"/>
      <c r="F947" s="106"/>
      <c r="G947" s="106"/>
      <c r="H947" s="9" t="s">
        <v>385</v>
      </c>
      <c r="I947" s="10">
        <f>73920-1962-1218</f>
        <v>70740</v>
      </c>
      <c r="J947" s="10">
        <v>70740</v>
      </c>
      <c r="K947" s="361">
        <f t="shared" si="151"/>
        <v>100</v>
      </c>
      <c r="L947" s="10"/>
      <c r="M947" s="10"/>
      <c r="N947" s="361"/>
      <c r="O947" s="108">
        <f t="shared" si="148"/>
        <v>70740</v>
      </c>
      <c r="P947" s="108">
        <f t="shared" si="147"/>
        <v>70740</v>
      </c>
      <c r="Q947" s="361">
        <f t="shared" si="149"/>
        <v>100</v>
      </c>
    </row>
    <row r="948" spans="2:17" ht="15" x14ac:dyDescent="0.25">
      <c r="B948" s="18">
        <f t="shared" si="152"/>
        <v>453</v>
      </c>
      <c r="C948" s="176"/>
      <c r="D948" s="176"/>
      <c r="E948" s="176">
        <v>1</v>
      </c>
      <c r="F948" s="177"/>
      <c r="G948" s="177"/>
      <c r="H948" s="176" t="s">
        <v>48</v>
      </c>
      <c r="I948" s="178">
        <f>I949+I950+I951+I959</f>
        <v>340812</v>
      </c>
      <c r="J948" s="178">
        <f>J949+J950+J951+J959</f>
        <v>317353</v>
      </c>
      <c r="K948" s="361">
        <f t="shared" si="151"/>
        <v>93.116732978885722</v>
      </c>
      <c r="L948" s="178"/>
      <c r="M948" s="178"/>
      <c r="N948" s="361"/>
      <c r="O948" s="179">
        <f t="shared" si="148"/>
        <v>340812</v>
      </c>
      <c r="P948" s="179">
        <f t="shared" si="147"/>
        <v>317353</v>
      </c>
      <c r="Q948" s="361">
        <f t="shared" si="149"/>
        <v>93.116732978885722</v>
      </c>
    </row>
    <row r="949" spans="2:17" x14ac:dyDescent="0.2">
      <c r="B949" s="18">
        <f t="shared" si="152"/>
        <v>454</v>
      </c>
      <c r="C949" s="3"/>
      <c r="D949" s="3"/>
      <c r="E949" s="3"/>
      <c r="F949" s="90" t="s">
        <v>158</v>
      </c>
      <c r="G949" s="2">
        <v>610</v>
      </c>
      <c r="H949" s="3" t="s">
        <v>131</v>
      </c>
      <c r="I949" s="4">
        <f>115850+19800+14000+3300+24850+100</f>
        <v>177900</v>
      </c>
      <c r="J949" s="4">
        <v>170607</v>
      </c>
      <c r="K949" s="361">
        <f t="shared" si="151"/>
        <v>95.900505902192251</v>
      </c>
      <c r="L949" s="4"/>
      <c r="M949" s="4"/>
      <c r="N949" s="361"/>
      <c r="O949" s="92">
        <f t="shared" si="148"/>
        <v>177900</v>
      </c>
      <c r="P949" s="92">
        <f t="shared" si="147"/>
        <v>170607</v>
      </c>
      <c r="Q949" s="361">
        <f t="shared" si="149"/>
        <v>95.900505902192251</v>
      </c>
    </row>
    <row r="950" spans="2:17" x14ac:dyDescent="0.2">
      <c r="B950" s="18">
        <f t="shared" si="152"/>
        <v>455</v>
      </c>
      <c r="C950" s="3"/>
      <c r="D950" s="3"/>
      <c r="E950" s="3"/>
      <c r="F950" s="90" t="s">
        <v>158</v>
      </c>
      <c r="G950" s="2">
        <v>620</v>
      </c>
      <c r="H950" s="3" t="s">
        <v>124</v>
      </c>
      <c r="I950" s="4">
        <f>8230+10000+2970+26210+3180+5290+1770+8495+35+816+104</f>
        <v>67100</v>
      </c>
      <c r="J950" s="4">
        <v>62523</v>
      </c>
      <c r="K950" s="361">
        <f t="shared" si="151"/>
        <v>93.178837555886744</v>
      </c>
      <c r="L950" s="4"/>
      <c r="M950" s="4"/>
      <c r="N950" s="361"/>
      <c r="O950" s="92">
        <f t="shared" si="148"/>
        <v>67100</v>
      </c>
      <c r="P950" s="92">
        <f t="shared" si="147"/>
        <v>62523</v>
      </c>
      <c r="Q950" s="361">
        <f t="shared" si="149"/>
        <v>93.178837555886744</v>
      </c>
    </row>
    <row r="951" spans="2:17" x14ac:dyDescent="0.2">
      <c r="B951" s="18">
        <f t="shared" si="152"/>
        <v>456</v>
      </c>
      <c r="C951" s="3"/>
      <c r="D951" s="3"/>
      <c r="E951" s="3"/>
      <c r="F951" s="90" t="s">
        <v>158</v>
      </c>
      <c r="G951" s="2">
        <v>630</v>
      </c>
      <c r="H951" s="3" t="s">
        <v>121</v>
      </c>
      <c r="I951" s="4">
        <f>I958+I957+I956+I955+I954+I953+I952</f>
        <v>94412</v>
      </c>
      <c r="J951" s="4">
        <f>J958+J957+J956+J955+J954+J953+J952</f>
        <v>82947</v>
      </c>
      <c r="K951" s="361">
        <f t="shared" si="151"/>
        <v>87.856416557217301</v>
      </c>
      <c r="L951" s="4"/>
      <c r="M951" s="4"/>
      <c r="N951" s="361"/>
      <c r="O951" s="92">
        <f t="shared" si="148"/>
        <v>94412</v>
      </c>
      <c r="P951" s="92">
        <f t="shared" si="147"/>
        <v>82947</v>
      </c>
      <c r="Q951" s="361">
        <f t="shared" si="149"/>
        <v>87.856416557217301</v>
      </c>
    </row>
    <row r="952" spans="2:17" x14ac:dyDescent="0.2">
      <c r="B952" s="18">
        <f t="shared" si="152"/>
        <v>457</v>
      </c>
      <c r="C952" s="6"/>
      <c r="D952" s="6"/>
      <c r="E952" s="6"/>
      <c r="F952" s="93"/>
      <c r="G952" s="5">
        <v>631</v>
      </c>
      <c r="H952" s="6" t="s">
        <v>127</v>
      </c>
      <c r="I952" s="7">
        <v>200</v>
      </c>
      <c r="J952" s="7">
        <v>169</v>
      </c>
      <c r="K952" s="361">
        <f t="shared" si="151"/>
        <v>84.5</v>
      </c>
      <c r="L952" s="7"/>
      <c r="M952" s="7"/>
      <c r="N952" s="361"/>
      <c r="O952" s="95">
        <f t="shared" si="148"/>
        <v>200</v>
      </c>
      <c r="P952" s="95">
        <f t="shared" ref="P952:P983" si="153">J952+M952</f>
        <v>169</v>
      </c>
      <c r="Q952" s="361">
        <f t="shared" si="149"/>
        <v>84.5</v>
      </c>
    </row>
    <row r="953" spans="2:17" x14ac:dyDescent="0.2">
      <c r="B953" s="18">
        <f t="shared" si="152"/>
        <v>458</v>
      </c>
      <c r="C953" s="6"/>
      <c r="D953" s="6"/>
      <c r="E953" s="6"/>
      <c r="F953" s="93"/>
      <c r="G953" s="5">
        <v>632</v>
      </c>
      <c r="H953" s="6" t="s">
        <v>134</v>
      </c>
      <c r="I953" s="7">
        <f>9500+1500+1000+2500</f>
        <v>14500</v>
      </c>
      <c r="J953" s="7">
        <v>14230</v>
      </c>
      <c r="K953" s="361">
        <f t="shared" si="151"/>
        <v>98.137931034482762</v>
      </c>
      <c r="L953" s="7"/>
      <c r="M953" s="7"/>
      <c r="N953" s="361"/>
      <c r="O953" s="95">
        <f t="shared" si="148"/>
        <v>14500</v>
      </c>
      <c r="P953" s="95">
        <f t="shared" si="153"/>
        <v>14230</v>
      </c>
      <c r="Q953" s="361">
        <f t="shared" si="149"/>
        <v>98.137931034482762</v>
      </c>
    </row>
    <row r="954" spans="2:17" x14ac:dyDescent="0.2">
      <c r="B954" s="18">
        <f t="shared" si="152"/>
        <v>459</v>
      </c>
      <c r="C954" s="6"/>
      <c r="D954" s="6"/>
      <c r="E954" s="6"/>
      <c r="F954" s="93"/>
      <c r="G954" s="5">
        <v>633</v>
      </c>
      <c r="H954" s="6" t="s">
        <v>125</v>
      </c>
      <c r="I954" s="7">
        <f>4000+2000+800+5000+3000+1000+500-2200+3000+2664</f>
        <v>19764</v>
      </c>
      <c r="J954" s="7">
        <v>17467</v>
      </c>
      <c r="K954" s="361">
        <f t="shared" si="151"/>
        <v>88.37785873304999</v>
      </c>
      <c r="L954" s="7"/>
      <c r="M954" s="7"/>
      <c r="N954" s="361"/>
      <c r="O954" s="95">
        <f t="shared" ref="O954:O985" si="154">I954+L954</f>
        <v>19764</v>
      </c>
      <c r="P954" s="95">
        <f t="shared" si="153"/>
        <v>17467</v>
      </c>
      <c r="Q954" s="361">
        <f t="shared" si="149"/>
        <v>88.37785873304999</v>
      </c>
    </row>
    <row r="955" spans="2:17" x14ac:dyDescent="0.2">
      <c r="B955" s="18">
        <f t="shared" si="152"/>
        <v>460</v>
      </c>
      <c r="C955" s="6"/>
      <c r="D955" s="6"/>
      <c r="E955" s="6"/>
      <c r="F955" s="93"/>
      <c r="G955" s="5">
        <v>634</v>
      </c>
      <c r="H955" s="6" t="s">
        <v>132</v>
      </c>
      <c r="I955" s="7">
        <v>100</v>
      </c>
      <c r="J955" s="7">
        <v>30</v>
      </c>
      <c r="K955" s="361">
        <f t="shared" si="151"/>
        <v>30</v>
      </c>
      <c r="L955" s="7"/>
      <c r="M955" s="7"/>
      <c r="N955" s="361"/>
      <c r="O955" s="95">
        <f t="shared" si="154"/>
        <v>100</v>
      </c>
      <c r="P955" s="95">
        <f t="shared" si="153"/>
        <v>30</v>
      </c>
      <c r="Q955" s="361">
        <f t="shared" si="149"/>
        <v>30</v>
      </c>
    </row>
    <row r="956" spans="2:17" x14ac:dyDescent="0.2">
      <c r="B956" s="18">
        <f t="shared" si="152"/>
        <v>461</v>
      </c>
      <c r="C956" s="6"/>
      <c r="D956" s="6"/>
      <c r="E956" s="6"/>
      <c r="F956" s="93"/>
      <c r="G956" s="5">
        <v>635</v>
      </c>
      <c r="H956" s="6" t="s">
        <v>133</v>
      </c>
      <c r="I956" s="7">
        <f>2000+500+2000-3000</f>
        <v>1500</v>
      </c>
      <c r="J956" s="7">
        <v>1078</v>
      </c>
      <c r="K956" s="361">
        <f t="shared" si="151"/>
        <v>71.866666666666674</v>
      </c>
      <c r="L956" s="7"/>
      <c r="M956" s="7"/>
      <c r="N956" s="361"/>
      <c r="O956" s="95">
        <f t="shared" si="154"/>
        <v>1500</v>
      </c>
      <c r="P956" s="95">
        <f t="shared" si="153"/>
        <v>1078</v>
      </c>
      <c r="Q956" s="361">
        <f t="shared" si="149"/>
        <v>71.866666666666674</v>
      </c>
    </row>
    <row r="957" spans="2:17" x14ac:dyDescent="0.2">
      <c r="B957" s="18">
        <f t="shared" si="152"/>
        <v>462</v>
      </c>
      <c r="C957" s="6"/>
      <c r="D957" s="6"/>
      <c r="E957" s="6"/>
      <c r="F957" s="93"/>
      <c r="G957" s="5">
        <v>636</v>
      </c>
      <c r="H957" s="6" t="s">
        <v>126</v>
      </c>
      <c r="I957" s="7">
        <f>500+1500+480-500</f>
        <v>1980</v>
      </c>
      <c r="J957" s="7">
        <v>1556</v>
      </c>
      <c r="K957" s="361">
        <f t="shared" si="151"/>
        <v>78.585858585858574</v>
      </c>
      <c r="L957" s="7"/>
      <c r="M957" s="7"/>
      <c r="N957" s="361"/>
      <c r="O957" s="95">
        <f t="shared" si="154"/>
        <v>1980</v>
      </c>
      <c r="P957" s="95">
        <f t="shared" si="153"/>
        <v>1556</v>
      </c>
      <c r="Q957" s="361">
        <f t="shared" si="149"/>
        <v>78.585858585858574</v>
      </c>
    </row>
    <row r="958" spans="2:17" x14ac:dyDescent="0.2">
      <c r="B958" s="18">
        <f t="shared" si="152"/>
        <v>463</v>
      </c>
      <c r="C958" s="6"/>
      <c r="D958" s="6"/>
      <c r="E958" s="6"/>
      <c r="F958" s="93"/>
      <c r="G958" s="5">
        <v>637</v>
      </c>
      <c r="H958" s="6" t="s">
        <v>122</v>
      </c>
      <c r="I958" s="7">
        <f>1000+27000+200+4000+2888+600+5000+200+1500+10000+500-2200+3550-616-300+3150-104</f>
        <v>56368</v>
      </c>
      <c r="J958" s="7">
        <v>48417</v>
      </c>
      <c r="K958" s="361">
        <f t="shared" si="151"/>
        <v>85.894479137099069</v>
      </c>
      <c r="L958" s="7"/>
      <c r="M958" s="7"/>
      <c r="N958" s="361"/>
      <c r="O958" s="95">
        <f t="shared" si="154"/>
        <v>56368</v>
      </c>
      <c r="P958" s="95">
        <f t="shared" si="153"/>
        <v>48417</v>
      </c>
      <c r="Q958" s="361">
        <f t="shared" si="149"/>
        <v>85.894479137099069</v>
      </c>
    </row>
    <row r="959" spans="2:17" x14ac:dyDescent="0.2">
      <c r="B959" s="18">
        <f t="shared" si="152"/>
        <v>464</v>
      </c>
      <c r="C959" s="3"/>
      <c r="D959" s="3"/>
      <c r="E959" s="3"/>
      <c r="F959" s="90" t="s">
        <v>158</v>
      </c>
      <c r="G959" s="2">
        <v>640</v>
      </c>
      <c r="H959" s="3" t="s">
        <v>129</v>
      </c>
      <c r="I959" s="4">
        <f>600+300+500</f>
        <v>1400</v>
      </c>
      <c r="J959" s="4">
        <v>1276</v>
      </c>
      <c r="K959" s="361">
        <f t="shared" si="151"/>
        <v>91.142857142857153</v>
      </c>
      <c r="L959" s="4"/>
      <c r="M959" s="4"/>
      <c r="N959" s="361"/>
      <c r="O959" s="92">
        <f t="shared" si="154"/>
        <v>1400</v>
      </c>
      <c r="P959" s="92">
        <f t="shared" si="153"/>
        <v>1276</v>
      </c>
      <c r="Q959" s="361">
        <f t="shared" si="149"/>
        <v>91.142857142857153</v>
      </c>
    </row>
    <row r="960" spans="2:17" s="122" customFormat="1" ht="15" x14ac:dyDescent="0.25">
      <c r="B960" s="18">
        <f t="shared" si="152"/>
        <v>465</v>
      </c>
      <c r="C960" s="176"/>
      <c r="D960" s="176"/>
      <c r="E960" s="176">
        <v>6</v>
      </c>
      <c r="F960" s="177"/>
      <c r="G960" s="177"/>
      <c r="H960" s="176" t="s">
        <v>284</v>
      </c>
      <c r="I960" s="178">
        <f>I961+I962+I963+I969</f>
        <v>280829</v>
      </c>
      <c r="J960" s="178">
        <f>J961+J962+J963+J969</f>
        <v>248829</v>
      </c>
      <c r="K960" s="361">
        <f t="shared" si="151"/>
        <v>88.605165420950115</v>
      </c>
      <c r="L960" s="178"/>
      <c r="M960" s="178"/>
      <c r="N960" s="361"/>
      <c r="O960" s="179">
        <f t="shared" si="154"/>
        <v>280829</v>
      </c>
      <c r="P960" s="179">
        <f t="shared" si="153"/>
        <v>248829</v>
      </c>
      <c r="Q960" s="361">
        <f t="shared" si="149"/>
        <v>88.605165420950115</v>
      </c>
    </row>
    <row r="961" spans="2:17" x14ac:dyDescent="0.2">
      <c r="B961" s="18">
        <f t="shared" si="152"/>
        <v>466</v>
      </c>
      <c r="C961" s="3"/>
      <c r="D961" s="3"/>
      <c r="E961" s="3"/>
      <c r="F961" s="90" t="s">
        <v>158</v>
      </c>
      <c r="G961" s="2">
        <v>610</v>
      </c>
      <c r="H961" s="3" t="s">
        <v>131</v>
      </c>
      <c r="I961" s="4">
        <f>4000+600+1200+139589+2600-3022</f>
        <v>144967</v>
      </c>
      <c r="J961" s="4">
        <v>139763</v>
      </c>
      <c r="K961" s="361">
        <f t="shared" si="151"/>
        <v>96.410217497775349</v>
      </c>
      <c r="L961" s="4"/>
      <c r="M961" s="4"/>
      <c r="N961" s="361"/>
      <c r="O961" s="92">
        <f t="shared" si="154"/>
        <v>144967</v>
      </c>
      <c r="P961" s="92">
        <f t="shared" si="153"/>
        <v>139763</v>
      </c>
      <c r="Q961" s="361">
        <f t="shared" si="149"/>
        <v>96.410217497775349</v>
      </c>
    </row>
    <row r="962" spans="2:17" s="122" customFormat="1" x14ac:dyDescent="0.2">
      <c r="B962" s="18">
        <f t="shared" si="152"/>
        <v>467</v>
      </c>
      <c r="C962" s="3"/>
      <c r="D962" s="3"/>
      <c r="E962" s="3"/>
      <c r="F962" s="90" t="s">
        <v>158</v>
      </c>
      <c r="G962" s="2">
        <v>620</v>
      </c>
      <c r="H962" s="3" t="s">
        <v>124</v>
      </c>
      <c r="I962" s="4">
        <f>48982+3022-47</f>
        <v>51957</v>
      </c>
      <c r="J962" s="4">
        <v>49661</v>
      </c>
      <c r="K962" s="361">
        <f t="shared" si="151"/>
        <v>95.580961179436841</v>
      </c>
      <c r="L962" s="4"/>
      <c r="M962" s="4"/>
      <c r="N962" s="361"/>
      <c r="O962" s="92">
        <f t="shared" si="154"/>
        <v>51957</v>
      </c>
      <c r="P962" s="92">
        <f t="shared" si="153"/>
        <v>49661</v>
      </c>
      <c r="Q962" s="361">
        <f t="shared" si="149"/>
        <v>95.580961179436841</v>
      </c>
    </row>
    <row r="963" spans="2:17" x14ac:dyDescent="0.2">
      <c r="B963" s="18">
        <f t="shared" si="152"/>
        <v>468</v>
      </c>
      <c r="C963" s="3"/>
      <c r="D963" s="3"/>
      <c r="E963" s="3"/>
      <c r="F963" s="90" t="s">
        <v>158</v>
      </c>
      <c r="G963" s="2">
        <v>630</v>
      </c>
      <c r="H963" s="3" t="s">
        <v>121</v>
      </c>
      <c r="I963" s="4">
        <f>SUM(I964:I968)</f>
        <v>82722</v>
      </c>
      <c r="J963" s="4">
        <f>SUM(J964:J968)</f>
        <v>58222</v>
      </c>
      <c r="K963" s="361">
        <f t="shared" si="151"/>
        <v>70.38272769033631</v>
      </c>
      <c r="L963" s="4"/>
      <c r="M963" s="4"/>
      <c r="N963" s="361"/>
      <c r="O963" s="92">
        <f t="shared" si="154"/>
        <v>82722</v>
      </c>
      <c r="P963" s="92">
        <f t="shared" si="153"/>
        <v>58222</v>
      </c>
      <c r="Q963" s="361">
        <f t="shared" si="149"/>
        <v>70.38272769033631</v>
      </c>
    </row>
    <row r="964" spans="2:17" s="122" customFormat="1" x14ac:dyDescent="0.2">
      <c r="B964" s="18">
        <f t="shared" si="152"/>
        <v>469</v>
      </c>
      <c r="C964" s="6"/>
      <c r="D964" s="6"/>
      <c r="E964" s="6"/>
      <c r="F964" s="93"/>
      <c r="G964" s="5">
        <v>632</v>
      </c>
      <c r="H964" s="6" t="s">
        <v>134</v>
      </c>
      <c r="I964" s="7">
        <f>66139+9207+500+500+1000-3376-15014</f>
        <v>58956</v>
      </c>
      <c r="J964" s="7">
        <v>34455</v>
      </c>
      <c r="K964" s="361">
        <f t="shared" si="151"/>
        <v>58.441888866273153</v>
      </c>
      <c r="L964" s="7"/>
      <c r="M964" s="7"/>
      <c r="N964" s="361"/>
      <c r="O964" s="95">
        <f t="shared" si="154"/>
        <v>58956</v>
      </c>
      <c r="P964" s="95">
        <f t="shared" si="153"/>
        <v>34455</v>
      </c>
      <c r="Q964" s="361">
        <f t="shared" si="149"/>
        <v>58.441888866273153</v>
      </c>
    </row>
    <row r="965" spans="2:17" x14ac:dyDescent="0.2">
      <c r="B965" s="18">
        <f t="shared" si="152"/>
        <v>470</v>
      </c>
      <c r="C965" s="6"/>
      <c r="D965" s="6"/>
      <c r="E965" s="6"/>
      <c r="F965" s="93"/>
      <c r="G965" s="5">
        <v>633</v>
      </c>
      <c r="H965" s="6" t="s">
        <v>125</v>
      </c>
      <c r="I965" s="7">
        <f>800+150+500+2398+1970-1000+2241</f>
        <v>7059</v>
      </c>
      <c r="J965" s="7">
        <v>7059</v>
      </c>
      <c r="K965" s="361">
        <f t="shared" si="151"/>
        <v>100</v>
      </c>
      <c r="L965" s="7"/>
      <c r="M965" s="7"/>
      <c r="N965" s="361"/>
      <c r="O965" s="95">
        <f t="shared" si="154"/>
        <v>7059</v>
      </c>
      <c r="P965" s="95">
        <f t="shared" si="153"/>
        <v>7059</v>
      </c>
      <c r="Q965" s="361">
        <f t="shared" si="149"/>
        <v>100</v>
      </c>
    </row>
    <row r="966" spans="2:17" x14ac:dyDescent="0.2">
      <c r="B966" s="18">
        <f t="shared" si="152"/>
        <v>471</v>
      </c>
      <c r="C966" s="6"/>
      <c r="D966" s="6"/>
      <c r="E966" s="6"/>
      <c r="F966" s="93"/>
      <c r="G966" s="5">
        <v>634</v>
      </c>
      <c r="H966" s="6" t="s">
        <v>132</v>
      </c>
      <c r="I966" s="7">
        <v>499</v>
      </c>
      <c r="J966" s="7">
        <v>499</v>
      </c>
      <c r="K966" s="361">
        <f t="shared" si="151"/>
        <v>100</v>
      </c>
      <c r="L966" s="7"/>
      <c r="M966" s="7"/>
      <c r="N966" s="361"/>
      <c r="O966" s="95">
        <f t="shared" si="154"/>
        <v>499</v>
      </c>
      <c r="P966" s="95">
        <f t="shared" si="153"/>
        <v>499</v>
      </c>
      <c r="Q966" s="361">
        <f t="shared" si="149"/>
        <v>100</v>
      </c>
    </row>
    <row r="967" spans="2:17" x14ac:dyDescent="0.2">
      <c r="B967" s="18">
        <f t="shared" si="152"/>
        <v>472</v>
      </c>
      <c r="C967" s="6"/>
      <c r="D967" s="6"/>
      <c r="E967" s="6"/>
      <c r="F967" s="93"/>
      <c r="G967" s="5">
        <v>635</v>
      </c>
      <c r="H967" s="6" t="s">
        <v>133</v>
      </c>
      <c r="I967" s="7">
        <f>871+12223</f>
        <v>13094</v>
      </c>
      <c r="J967" s="7">
        <v>13095</v>
      </c>
      <c r="K967" s="361">
        <f t="shared" si="151"/>
        <v>100.00763708568809</v>
      </c>
      <c r="L967" s="7"/>
      <c r="M967" s="7"/>
      <c r="N967" s="361"/>
      <c r="O967" s="95">
        <f t="shared" si="154"/>
        <v>13094</v>
      </c>
      <c r="P967" s="95">
        <f t="shared" si="153"/>
        <v>13095</v>
      </c>
      <c r="Q967" s="361">
        <f t="shared" si="149"/>
        <v>100.00763708568809</v>
      </c>
    </row>
    <row r="968" spans="2:17" x14ac:dyDescent="0.2">
      <c r="B968" s="18">
        <f t="shared" si="152"/>
        <v>473</v>
      </c>
      <c r="C968" s="6"/>
      <c r="D968" s="6"/>
      <c r="E968" s="6"/>
      <c r="F968" s="93"/>
      <c r="G968" s="5">
        <v>637</v>
      </c>
      <c r="H968" s="6" t="s">
        <v>122</v>
      </c>
      <c r="I968" s="7">
        <f>580+400+1070+1429-365</f>
        <v>3114</v>
      </c>
      <c r="J968" s="7">
        <v>3114</v>
      </c>
      <c r="K968" s="361">
        <f t="shared" si="151"/>
        <v>100</v>
      </c>
      <c r="L968" s="7"/>
      <c r="M968" s="7"/>
      <c r="N968" s="361"/>
      <c r="O968" s="95">
        <f t="shared" si="154"/>
        <v>3114</v>
      </c>
      <c r="P968" s="95">
        <f t="shared" si="153"/>
        <v>3114</v>
      </c>
      <c r="Q968" s="361">
        <f t="shared" si="149"/>
        <v>100</v>
      </c>
    </row>
    <row r="969" spans="2:17" x14ac:dyDescent="0.2">
      <c r="B969" s="18">
        <f t="shared" si="152"/>
        <v>474</v>
      </c>
      <c r="C969" s="3"/>
      <c r="D969" s="3"/>
      <c r="E969" s="3"/>
      <c r="F969" s="90" t="s">
        <v>158</v>
      </c>
      <c r="G969" s="2">
        <v>640</v>
      </c>
      <c r="H969" s="3" t="s">
        <v>129</v>
      </c>
      <c r="I969" s="4">
        <f>720+416+47</f>
        <v>1183</v>
      </c>
      <c r="J969" s="4">
        <v>1183</v>
      </c>
      <c r="K969" s="361">
        <f t="shared" si="151"/>
        <v>100</v>
      </c>
      <c r="L969" s="4"/>
      <c r="M969" s="4"/>
      <c r="N969" s="361"/>
      <c r="O969" s="92">
        <f t="shared" si="154"/>
        <v>1183</v>
      </c>
      <c r="P969" s="92">
        <f t="shared" si="153"/>
        <v>1183</v>
      </c>
      <c r="Q969" s="361">
        <f t="shared" si="149"/>
        <v>100</v>
      </c>
    </row>
    <row r="970" spans="2:17" ht="15" x14ac:dyDescent="0.25">
      <c r="B970" s="18">
        <f t="shared" si="152"/>
        <v>475</v>
      </c>
      <c r="C970" s="176"/>
      <c r="D970" s="176"/>
      <c r="E970" s="176">
        <v>7</v>
      </c>
      <c r="F970" s="177"/>
      <c r="G970" s="177"/>
      <c r="H970" s="176" t="s">
        <v>286</v>
      </c>
      <c r="I970" s="178">
        <f>I971+I972+I973+I977</f>
        <v>227348</v>
      </c>
      <c r="J970" s="178">
        <f>J971+J972+J973+J977</f>
        <v>227348</v>
      </c>
      <c r="K970" s="361">
        <f t="shared" ref="K970:K1001" si="155">J970/I970*100</f>
        <v>100</v>
      </c>
      <c r="L970" s="178"/>
      <c r="M970" s="178"/>
      <c r="N970" s="361"/>
      <c r="O970" s="179">
        <f t="shared" si="154"/>
        <v>227348</v>
      </c>
      <c r="P970" s="179">
        <f t="shared" si="153"/>
        <v>227348</v>
      </c>
      <c r="Q970" s="361">
        <f t="shared" si="149"/>
        <v>100</v>
      </c>
    </row>
    <row r="971" spans="2:17" x14ac:dyDescent="0.2">
      <c r="B971" s="18">
        <f t="shared" si="152"/>
        <v>476</v>
      </c>
      <c r="C971" s="3"/>
      <c r="D971" s="3"/>
      <c r="E971" s="3"/>
      <c r="F971" s="90" t="s">
        <v>158</v>
      </c>
      <c r="G971" s="2">
        <v>610</v>
      </c>
      <c r="H971" s="3" t="s">
        <v>131</v>
      </c>
      <c r="I971" s="4">
        <f>22400+2000+3000+129500-1200-1310</f>
        <v>154390</v>
      </c>
      <c r="J971" s="4">
        <v>154390</v>
      </c>
      <c r="K971" s="361">
        <f t="shared" si="155"/>
        <v>100</v>
      </c>
      <c r="L971" s="4"/>
      <c r="M971" s="4"/>
      <c r="N971" s="361"/>
      <c r="O971" s="92">
        <f t="shared" si="154"/>
        <v>154390</v>
      </c>
      <c r="P971" s="92">
        <f t="shared" si="153"/>
        <v>154390</v>
      </c>
      <c r="Q971" s="361">
        <f t="shared" si="149"/>
        <v>100</v>
      </c>
    </row>
    <row r="972" spans="2:17" x14ac:dyDescent="0.2">
      <c r="B972" s="18">
        <f t="shared" si="152"/>
        <v>477</v>
      </c>
      <c r="C972" s="3"/>
      <c r="D972" s="3"/>
      <c r="E972" s="3"/>
      <c r="F972" s="90" t="s">
        <v>158</v>
      </c>
      <c r="G972" s="2">
        <v>620</v>
      </c>
      <c r="H972" s="3" t="s">
        <v>124</v>
      </c>
      <c r="I972" s="4">
        <f>7400+4700+15690+3130+1569+21000+2200+1250+1510</f>
        <v>58449</v>
      </c>
      <c r="J972" s="4">
        <v>58449</v>
      </c>
      <c r="K972" s="361">
        <f t="shared" si="155"/>
        <v>100</v>
      </c>
      <c r="L972" s="4"/>
      <c r="M972" s="4"/>
      <c r="N972" s="361"/>
      <c r="O972" s="92">
        <f t="shared" si="154"/>
        <v>58449</v>
      </c>
      <c r="P972" s="92">
        <f t="shared" si="153"/>
        <v>58449</v>
      </c>
      <c r="Q972" s="361">
        <f t="shared" si="149"/>
        <v>100</v>
      </c>
    </row>
    <row r="973" spans="2:17" x14ac:dyDescent="0.2">
      <c r="B973" s="18">
        <f t="shared" si="152"/>
        <v>478</v>
      </c>
      <c r="C973" s="3"/>
      <c r="D973" s="3"/>
      <c r="E973" s="3"/>
      <c r="F973" s="90" t="s">
        <v>158</v>
      </c>
      <c r="G973" s="2">
        <v>630</v>
      </c>
      <c r="H973" s="3" t="s">
        <v>121</v>
      </c>
      <c r="I973" s="4">
        <f>SUM(I974:I976)</f>
        <v>13509</v>
      </c>
      <c r="J973" s="4">
        <f>SUM(J974:J976)</f>
        <v>13509</v>
      </c>
      <c r="K973" s="361">
        <f t="shared" si="155"/>
        <v>100</v>
      </c>
      <c r="L973" s="4"/>
      <c r="M973" s="4"/>
      <c r="N973" s="361"/>
      <c r="O973" s="92">
        <f t="shared" si="154"/>
        <v>13509</v>
      </c>
      <c r="P973" s="92">
        <f t="shared" si="153"/>
        <v>13509</v>
      </c>
      <c r="Q973" s="361">
        <f t="shared" si="149"/>
        <v>100</v>
      </c>
    </row>
    <row r="974" spans="2:17" x14ac:dyDescent="0.2">
      <c r="B974" s="18">
        <f t="shared" si="152"/>
        <v>479</v>
      </c>
      <c r="C974" s="6"/>
      <c r="D974" s="6"/>
      <c r="E974" s="6"/>
      <c r="F974" s="93"/>
      <c r="G974" s="5">
        <v>632</v>
      </c>
      <c r="H974" s="6" t="s">
        <v>134</v>
      </c>
      <c r="I974" s="7">
        <v>5000</v>
      </c>
      <c r="J974" s="7">
        <v>5000</v>
      </c>
      <c r="K974" s="361">
        <f t="shared" si="155"/>
        <v>100</v>
      </c>
      <c r="L974" s="7"/>
      <c r="M974" s="7"/>
      <c r="N974" s="361"/>
      <c r="O974" s="95">
        <f t="shared" si="154"/>
        <v>5000</v>
      </c>
      <c r="P974" s="95">
        <f t="shared" si="153"/>
        <v>5000</v>
      </c>
      <c r="Q974" s="361">
        <f t="shared" si="149"/>
        <v>100</v>
      </c>
    </row>
    <row r="975" spans="2:17" x14ac:dyDescent="0.2">
      <c r="B975" s="18">
        <f t="shared" si="152"/>
        <v>480</v>
      </c>
      <c r="C975" s="6"/>
      <c r="D975" s="6"/>
      <c r="E975" s="6"/>
      <c r="F975" s="93"/>
      <c r="G975" s="5">
        <v>633</v>
      </c>
      <c r="H975" s="6" t="s">
        <v>125</v>
      </c>
      <c r="I975" s="7">
        <f>3500+1500-711</f>
        <v>4289</v>
      </c>
      <c r="J975" s="7">
        <v>4289</v>
      </c>
      <c r="K975" s="361">
        <f t="shared" si="155"/>
        <v>100</v>
      </c>
      <c r="L975" s="7"/>
      <c r="M975" s="7"/>
      <c r="N975" s="361"/>
      <c r="O975" s="95">
        <f t="shared" si="154"/>
        <v>4289</v>
      </c>
      <c r="P975" s="95">
        <f t="shared" si="153"/>
        <v>4289</v>
      </c>
      <c r="Q975" s="361">
        <f t="shared" si="149"/>
        <v>100</v>
      </c>
    </row>
    <row r="976" spans="2:17" x14ac:dyDescent="0.2">
      <c r="B976" s="18">
        <f t="shared" si="152"/>
        <v>481</v>
      </c>
      <c r="C976" s="6"/>
      <c r="D976" s="6"/>
      <c r="E976" s="6"/>
      <c r="F976" s="93"/>
      <c r="G976" s="5">
        <v>637</v>
      </c>
      <c r="H976" s="6" t="s">
        <v>122</v>
      </c>
      <c r="I976" s="7">
        <f>1500+1520+1200</f>
        <v>4220</v>
      </c>
      <c r="J976" s="7">
        <v>4220</v>
      </c>
      <c r="K976" s="361">
        <f t="shared" si="155"/>
        <v>100</v>
      </c>
      <c r="L976" s="7"/>
      <c r="M976" s="7"/>
      <c r="N976" s="361"/>
      <c r="O976" s="95">
        <f t="shared" si="154"/>
        <v>4220</v>
      </c>
      <c r="P976" s="95">
        <f t="shared" si="153"/>
        <v>4220</v>
      </c>
      <c r="Q976" s="361">
        <f t="shared" si="149"/>
        <v>100</v>
      </c>
    </row>
    <row r="977" spans="2:17" x14ac:dyDescent="0.2">
      <c r="B977" s="18">
        <f t="shared" si="152"/>
        <v>482</v>
      </c>
      <c r="C977" s="6"/>
      <c r="D977" s="6"/>
      <c r="E977" s="6"/>
      <c r="F977" s="90" t="s">
        <v>158</v>
      </c>
      <c r="G977" s="2">
        <v>640</v>
      </c>
      <c r="H977" s="3" t="s">
        <v>129</v>
      </c>
      <c r="I977" s="4">
        <f>1200-200</f>
        <v>1000</v>
      </c>
      <c r="J977" s="4">
        <v>1000</v>
      </c>
      <c r="K977" s="361">
        <f t="shared" si="155"/>
        <v>100</v>
      </c>
      <c r="L977" s="4"/>
      <c r="M977" s="4"/>
      <c r="N977" s="361"/>
      <c r="O977" s="92">
        <f t="shared" si="154"/>
        <v>1000</v>
      </c>
      <c r="P977" s="92">
        <f t="shared" si="153"/>
        <v>1000</v>
      </c>
      <c r="Q977" s="361">
        <f t="shared" si="149"/>
        <v>100</v>
      </c>
    </row>
    <row r="978" spans="2:17" ht="15" x14ac:dyDescent="0.25">
      <c r="B978" s="18">
        <f t="shared" si="152"/>
        <v>483</v>
      </c>
      <c r="C978" s="176"/>
      <c r="D978" s="176"/>
      <c r="E978" s="176">
        <v>8</v>
      </c>
      <c r="F978" s="177"/>
      <c r="G978" s="177"/>
      <c r="H978" s="176" t="s">
        <v>6</v>
      </c>
      <c r="I978" s="178">
        <f>I979+I980+I981+I986</f>
        <v>452377</v>
      </c>
      <c r="J978" s="178">
        <f>J979+J980+J981+J986</f>
        <v>449737</v>
      </c>
      <c r="K978" s="361">
        <f t="shared" si="155"/>
        <v>99.416415953949908</v>
      </c>
      <c r="L978" s="178"/>
      <c r="M978" s="178"/>
      <c r="N978" s="361"/>
      <c r="O978" s="179">
        <f t="shared" si="154"/>
        <v>452377</v>
      </c>
      <c r="P978" s="179">
        <f t="shared" si="153"/>
        <v>449737</v>
      </c>
      <c r="Q978" s="361">
        <f t="shared" si="149"/>
        <v>99.416415953949908</v>
      </c>
    </row>
    <row r="979" spans="2:17" x14ac:dyDescent="0.2">
      <c r="B979" s="18">
        <f t="shared" si="152"/>
        <v>484</v>
      </c>
      <c r="C979" s="3"/>
      <c r="D979" s="3"/>
      <c r="E979" s="3"/>
      <c r="F979" s="90" t="s">
        <v>158</v>
      </c>
      <c r="G979" s="2">
        <v>610</v>
      </c>
      <c r="H979" s="3" t="s">
        <v>131</v>
      </c>
      <c r="I979" s="4">
        <f>284820-1360</f>
        <v>283460</v>
      </c>
      <c r="J979" s="4">
        <v>283460</v>
      </c>
      <c r="K979" s="361">
        <f t="shared" si="155"/>
        <v>100</v>
      </c>
      <c r="L979" s="4"/>
      <c r="M979" s="4"/>
      <c r="N979" s="361"/>
      <c r="O979" s="92">
        <f t="shared" si="154"/>
        <v>283460</v>
      </c>
      <c r="P979" s="92">
        <f t="shared" si="153"/>
        <v>283460</v>
      </c>
      <c r="Q979" s="361">
        <f t="shared" si="149"/>
        <v>100</v>
      </c>
    </row>
    <row r="980" spans="2:17" x14ac:dyDescent="0.2">
      <c r="B980" s="18">
        <f t="shared" si="152"/>
        <v>485</v>
      </c>
      <c r="C980" s="3"/>
      <c r="D980" s="3"/>
      <c r="E980" s="3"/>
      <c r="F980" s="90" t="s">
        <v>158</v>
      </c>
      <c r="G980" s="2">
        <v>620</v>
      </c>
      <c r="H980" s="3" t="s">
        <v>124</v>
      </c>
      <c r="I980" s="4">
        <f>101250+1360+55</f>
        <v>102665</v>
      </c>
      <c r="J980" s="4">
        <v>102665</v>
      </c>
      <c r="K980" s="361">
        <f t="shared" si="155"/>
        <v>100</v>
      </c>
      <c r="L980" s="4"/>
      <c r="M980" s="4"/>
      <c r="N980" s="361"/>
      <c r="O980" s="92">
        <f t="shared" si="154"/>
        <v>102665</v>
      </c>
      <c r="P980" s="92">
        <f t="shared" si="153"/>
        <v>102665</v>
      </c>
      <c r="Q980" s="361">
        <f t="shared" si="149"/>
        <v>100</v>
      </c>
    </row>
    <row r="981" spans="2:17" x14ac:dyDescent="0.2">
      <c r="B981" s="18">
        <f t="shared" si="152"/>
        <v>486</v>
      </c>
      <c r="C981" s="3"/>
      <c r="D981" s="3"/>
      <c r="E981" s="3"/>
      <c r="F981" s="90" t="s">
        <v>158</v>
      </c>
      <c r="G981" s="2">
        <v>630</v>
      </c>
      <c r="H981" s="3" t="s">
        <v>121</v>
      </c>
      <c r="I981" s="4">
        <f>SUM(I982:I985)</f>
        <v>63267</v>
      </c>
      <c r="J981" s="4">
        <f>SUM(J982:J985)</f>
        <v>63267</v>
      </c>
      <c r="K981" s="361">
        <f t="shared" si="155"/>
        <v>100</v>
      </c>
      <c r="L981" s="4"/>
      <c r="M981" s="4"/>
      <c r="N981" s="361"/>
      <c r="O981" s="92">
        <f t="shared" si="154"/>
        <v>63267</v>
      </c>
      <c r="P981" s="92">
        <f t="shared" si="153"/>
        <v>63267</v>
      </c>
      <c r="Q981" s="361">
        <f t="shared" si="149"/>
        <v>100</v>
      </c>
    </row>
    <row r="982" spans="2:17" x14ac:dyDescent="0.2">
      <c r="B982" s="18">
        <f t="shared" si="152"/>
        <v>487</v>
      </c>
      <c r="C982" s="6"/>
      <c r="D982" s="6"/>
      <c r="E982" s="6"/>
      <c r="F982" s="93"/>
      <c r="G982" s="5">
        <v>632</v>
      </c>
      <c r="H982" s="6" t="s">
        <v>134</v>
      </c>
      <c r="I982" s="7">
        <f>50300-3193</f>
        <v>47107</v>
      </c>
      <c r="J982" s="7">
        <v>47107</v>
      </c>
      <c r="K982" s="361">
        <f t="shared" si="155"/>
        <v>100</v>
      </c>
      <c r="L982" s="7"/>
      <c r="M982" s="7"/>
      <c r="N982" s="361"/>
      <c r="O982" s="95">
        <f t="shared" si="154"/>
        <v>47107</v>
      </c>
      <c r="P982" s="95">
        <f t="shared" si="153"/>
        <v>47107</v>
      </c>
      <c r="Q982" s="361">
        <f t="shared" si="149"/>
        <v>100</v>
      </c>
    </row>
    <row r="983" spans="2:17" x14ac:dyDescent="0.2">
      <c r="B983" s="18">
        <f t="shared" si="152"/>
        <v>488</v>
      </c>
      <c r="C983" s="6"/>
      <c r="D983" s="6"/>
      <c r="E983" s="6"/>
      <c r="F983" s="93"/>
      <c r="G983" s="5">
        <v>633</v>
      </c>
      <c r="H983" s="6" t="s">
        <v>125</v>
      </c>
      <c r="I983" s="7">
        <f>2700+4150</f>
        <v>6850</v>
      </c>
      <c r="J983" s="7">
        <v>6850</v>
      </c>
      <c r="K983" s="361">
        <f t="shared" si="155"/>
        <v>100</v>
      </c>
      <c r="L983" s="7"/>
      <c r="M983" s="7"/>
      <c r="N983" s="361"/>
      <c r="O983" s="95">
        <f t="shared" si="154"/>
        <v>6850</v>
      </c>
      <c r="P983" s="95">
        <f t="shared" si="153"/>
        <v>6850</v>
      </c>
      <c r="Q983" s="361">
        <f t="shared" si="149"/>
        <v>100</v>
      </c>
    </row>
    <row r="984" spans="2:17" x14ac:dyDescent="0.2">
      <c r="B984" s="18">
        <f t="shared" si="152"/>
        <v>489</v>
      </c>
      <c r="C984" s="6"/>
      <c r="D984" s="6"/>
      <c r="E984" s="6"/>
      <c r="F984" s="93"/>
      <c r="G984" s="5">
        <v>635</v>
      </c>
      <c r="H984" s="6" t="s">
        <v>133</v>
      </c>
      <c r="I984" s="7">
        <v>1000</v>
      </c>
      <c r="J984" s="7">
        <v>1000</v>
      </c>
      <c r="K984" s="361">
        <f t="shared" si="155"/>
        <v>100</v>
      </c>
      <c r="L984" s="7"/>
      <c r="M984" s="7"/>
      <c r="N984" s="361"/>
      <c r="O984" s="95">
        <f t="shared" si="154"/>
        <v>1000</v>
      </c>
      <c r="P984" s="95">
        <f t="shared" ref="P984:P1015" si="156">J984+M984</f>
        <v>1000</v>
      </c>
      <c r="Q984" s="361">
        <f t="shared" si="149"/>
        <v>100</v>
      </c>
    </row>
    <row r="985" spans="2:17" x14ac:dyDescent="0.2">
      <c r="B985" s="18">
        <f t="shared" si="152"/>
        <v>490</v>
      </c>
      <c r="C985" s="6"/>
      <c r="D985" s="6"/>
      <c r="E985" s="6"/>
      <c r="F985" s="93"/>
      <c r="G985" s="5">
        <v>637</v>
      </c>
      <c r="H985" s="6" t="s">
        <v>122</v>
      </c>
      <c r="I985" s="7">
        <f>9860-1550</f>
        <v>8310</v>
      </c>
      <c r="J985" s="7">
        <v>8310</v>
      </c>
      <c r="K985" s="361">
        <f t="shared" si="155"/>
        <v>100</v>
      </c>
      <c r="L985" s="7"/>
      <c r="M985" s="7"/>
      <c r="N985" s="361"/>
      <c r="O985" s="95">
        <f t="shared" si="154"/>
        <v>8310</v>
      </c>
      <c r="P985" s="95">
        <f t="shared" si="156"/>
        <v>8310</v>
      </c>
      <c r="Q985" s="361">
        <f t="shared" si="149"/>
        <v>100</v>
      </c>
    </row>
    <row r="986" spans="2:17" x14ac:dyDescent="0.2">
      <c r="B986" s="18">
        <f t="shared" si="152"/>
        <v>491</v>
      </c>
      <c r="C986" s="3"/>
      <c r="D986" s="3"/>
      <c r="E986" s="3"/>
      <c r="F986" s="90" t="s">
        <v>158</v>
      </c>
      <c r="G986" s="2">
        <v>640</v>
      </c>
      <c r="H986" s="3" t="s">
        <v>129</v>
      </c>
      <c r="I986" s="4">
        <f>5640-2600-55</f>
        <v>2985</v>
      </c>
      <c r="J986" s="4">
        <v>345</v>
      </c>
      <c r="K986" s="361">
        <f t="shared" si="155"/>
        <v>11.557788944723619</v>
      </c>
      <c r="L986" s="4"/>
      <c r="M986" s="4"/>
      <c r="N986" s="361"/>
      <c r="O986" s="92">
        <f t="shared" ref="O986:O1017" si="157">I986+L986</f>
        <v>2985</v>
      </c>
      <c r="P986" s="92">
        <f t="shared" si="156"/>
        <v>345</v>
      </c>
      <c r="Q986" s="361">
        <f t="shared" ref="Q986:Q1049" si="158">P986/O986*100</f>
        <v>11.557788944723619</v>
      </c>
    </row>
    <row r="987" spans="2:17" ht="15" x14ac:dyDescent="0.25">
      <c r="B987" s="18">
        <f t="shared" si="152"/>
        <v>492</v>
      </c>
      <c r="C987" s="176"/>
      <c r="D987" s="176"/>
      <c r="E987" s="176">
        <v>9</v>
      </c>
      <c r="F987" s="177"/>
      <c r="G987" s="177"/>
      <c r="H987" s="176" t="s">
        <v>4</v>
      </c>
      <c r="I987" s="178">
        <f>I988+I989+I990+I995</f>
        <v>309305</v>
      </c>
      <c r="J987" s="178">
        <f>J988+J989+J990+J995</f>
        <v>302441</v>
      </c>
      <c r="K987" s="361">
        <f t="shared" si="155"/>
        <v>97.78083121837669</v>
      </c>
      <c r="L987" s="178"/>
      <c r="M987" s="178"/>
      <c r="N987" s="361"/>
      <c r="O987" s="179">
        <f t="shared" si="157"/>
        <v>309305</v>
      </c>
      <c r="P987" s="179">
        <f t="shared" si="156"/>
        <v>302441</v>
      </c>
      <c r="Q987" s="361">
        <f t="shared" si="158"/>
        <v>97.78083121837669</v>
      </c>
    </row>
    <row r="988" spans="2:17" x14ac:dyDescent="0.2">
      <c r="B988" s="18">
        <f t="shared" si="152"/>
        <v>493</v>
      </c>
      <c r="C988" s="3"/>
      <c r="D988" s="3"/>
      <c r="E988" s="3"/>
      <c r="F988" s="90" t="s">
        <v>158</v>
      </c>
      <c r="G988" s="2">
        <v>610</v>
      </c>
      <c r="H988" s="3" t="s">
        <v>131</v>
      </c>
      <c r="I988" s="4">
        <f>201975-1602</f>
        <v>200373</v>
      </c>
      <c r="J988" s="4">
        <v>200373</v>
      </c>
      <c r="K988" s="361">
        <f t="shared" si="155"/>
        <v>100</v>
      </c>
      <c r="L988" s="4"/>
      <c r="M988" s="4"/>
      <c r="N988" s="361"/>
      <c r="O988" s="92">
        <f t="shared" si="157"/>
        <v>200373</v>
      </c>
      <c r="P988" s="92">
        <f t="shared" si="156"/>
        <v>200373</v>
      </c>
      <c r="Q988" s="361">
        <f t="shared" si="158"/>
        <v>100</v>
      </c>
    </row>
    <row r="989" spans="2:17" x14ac:dyDescent="0.2">
      <c r="B989" s="18">
        <f t="shared" si="152"/>
        <v>494</v>
      </c>
      <c r="C989" s="3"/>
      <c r="D989" s="3"/>
      <c r="E989" s="3"/>
      <c r="F989" s="90" t="s">
        <v>158</v>
      </c>
      <c r="G989" s="2">
        <v>620</v>
      </c>
      <c r="H989" s="3" t="s">
        <v>124</v>
      </c>
      <c r="I989" s="4">
        <v>71635</v>
      </c>
      <c r="J989" s="4">
        <v>71635</v>
      </c>
      <c r="K989" s="361">
        <f t="shared" si="155"/>
        <v>100</v>
      </c>
      <c r="L989" s="4"/>
      <c r="M989" s="4"/>
      <c r="N989" s="361"/>
      <c r="O989" s="92">
        <f t="shared" si="157"/>
        <v>71635</v>
      </c>
      <c r="P989" s="92">
        <f t="shared" si="156"/>
        <v>71635</v>
      </c>
      <c r="Q989" s="361">
        <f t="shared" si="158"/>
        <v>100</v>
      </c>
    </row>
    <row r="990" spans="2:17" s="122" customFormat="1" x14ac:dyDescent="0.2">
      <c r="B990" s="18">
        <f t="shared" si="152"/>
        <v>495</v>
      </c>
      <c r="C990" s="3"/>
      <c r="D990" s="3"/>
      <c r="E990" s="3"/>
      <c r="F990" s="90" t="s">
        <v>158</v>
      </c>
      <c r="G990" s="2">
        <v>630</v>
      </c>
      <c r="H990" s="3" t="s">
        <v>121</v>
      </c>
      <c r="I990" s="4">
        <f>SUM(I991:I994)</f>
        <v>32395</v>
      </c>
      <c r="J990" s="4">
        <f>SUM(J991:J994)</f>
        <v>25789</v>
      </c>
      <c r="K990" s="361">
        <f t="shared" si="155"/>
        <v>79.607964192004943</v>
      </c>
      <c r="L990" s="4"/>
      <c r="M990" s="4"/>
      <c r="N990" s="361"/>
      <c r="O990" s="92">
        <f t="shared" si="157"/>
        <v>32395</v>
      </c>
      <c r="P990" s="92">
        <f t="shared" si="156"/>
        <v>25789</v>
      </c>
      <c r="Q990" s="361">
        <f t="shared" si="158"/>
        <v>79.607964192004943</v>
      </c>
    </row>
    <row r="991" spans="2:17" s="122" customFormat="1" x14ac:dyDescent="0.2">
      <c r="B991" s="18">
        <f t="shared" si="152"/>
        <v>496</v>
      </c>
      <c r="C991" s="6"/>
      <c r="D991" s="6"/>
      <c r="E991" s="6"/>
      <c r="F991" s="93"/>
      <c r="G991" s="5">
        <v>632</v>
      </c>
      <c r="H991" s="6" t="s">
        <v>134</v>
      </c>
      <c r="I991" s="7">
        <f>16000-146</f>
        <v>15854</v>
      </c>
      <c r="J991" s="7">
        <v>9248</v>
      </c>
      <c r="K991" s="361">
        <f t="shared" si="155"/>
        <v>58.33228207392456</v>
      </c>
      <c r="L991" s="7"/>
      <c r="M991" s="7"/>
      <c r="N991" s="361"/>
      <c r="O991" s="95">
        <f t="shared" si="157"/>
        <v>15854</v>
      </c>
      <c r="P991" s="95">
        <f t="shared" si="156"/>
        <v>9248</v>
      </c>
      <c r="Q991" s="361">
        <f t="shared" si="158"/>
        <v>58.33228207392456</v>
      </c>
    </row>
    <row r="992" spans="2:17" s="122" customFormat="1" x14ac:dyDescent="0.2">
      <c r="B992" s="18">
        <f t="shared" si="152"/>
        <v>497</v>
      </c>
      <c r="C992" s="6"/>
      <c r="D992" s="6"/>
      <c r="E992" s="6"/>
      <c r="F992" s="93"/>
      <c r="G992" s="5">
        <v>633</v>
      </c>
      <c r="H992" s="6" t="s">
        <v>125</v>
      </c>
      <c r="I992" s="7">
        <v>2600</v>
      </c>
      <c r="J992" s="7">
        <v>2600</v>
      </c>
      <c r="K992" s="361">
        <f t="shared" si="155"/>
        <v>100</v>
      </c>
      <c r="L992" s="7"/>
      <c r="M992" s="7"/>
      <c r="N992" s="361"/>
      <c r="O992" s="95">
        <f t="shared" si="157"/>
        <v>2600</v>
      </c>
      <c r="P992" s="95">
        <f t="shared" si="156"/>
        <v>2600</v>
      </c>
      <c r="Q992" s="361">
        <f t="shared" si="158"/>
        <v>100</v>
      </c>
    </row>
    <row r="993" spans="2:17" x14ac:dyDescent="0.2">
      <c r="B993" s="18">
        <f t="shared" si="152"/>
        <v>498</v>
      </c>
      <c r="C993" s="6"/>
      <c r="D993" s="6"/>
      <c r="E993" s="6"/>
      <c r="F993" s="93"/>
      <c r="G993" s="5">
        <v>635</v>
      </c>
      <c r="H993" s="6" t="s">
        <v>133</v>
      </c>
      <c r="I993" s="7">
        <f>10000-1705+146</f>
        <v>8441</v>
      </c>
      <c r="J993" s="7">
        <v>8441</v>
      </c>
      <c r="K993" s="361">
        <f t="shared" si="155"/>
        <v>100</v>
      </c>
      <c r="L993" s="7"/>
      <c r="M993" s="7"/>
      <c r="N993" s="361"/>
      <c r="O993" s="95">
        <f t="shared" si="157"/>
        <v>8441</v>
      </c>
      <c r="P993" s="95">
        <f t="shared" si="156"/>
        <v>8441</v>
      </c>
      <c r="Q993" s="361">
        <f t="shared" si="158"/>
        <v>100</v>
      </c>
    </row>
    <row r="994" spans="2:17" x14ac:dyDescent="0.2">
      <c r="B994" s="18">
        <f t="shared" si="152"/>
        <v>499</v>
      </c>
      <c r="C994" s="6"/>
      <c r="D994" s="6"/>
      <c r="E994" s="6"/>
      <c r="F994" s="93"/>
      <c r="G994" s="5">
        <v>637</v>
      </c>
      <c r="H994" s="6" t="s">
        <v>122</v>
      </c>
      <c r="I994" s="7">
        <v>5500</v>
      </c>
      <c r="J994" s="7">
        <v>5500</v>
      </c>
      <c r="K994" s="361">
        <f t="shared" si="155"/>
        <v>100</v>
      </c>
      <c r="L994" s="7"/>
      <c r="M994" s="7"/>
      <c r="N994" s="361"/>
      <c r="O994" s="95">
        <f t="shared" si="157"/>
        <v>5500</v>
      </c>
      <c r="P994" s="95">
        <f t="shared" si="156"/>
        <v>5500</v>
      </c>
      <c r="Q994" s="361">
        <f t="shared" si="158"/>
        <v>100</v>
      </c>
    </row>
    <row r="995" spans="2:17" x14ac:dyDescent="0.2">
      <c r="B995" s="18">
        <f t="shared" si="152"/>
        <v>500</v>
      </c>
      <c r="C995" s="3"/>
      <c r="D995" s="3"/>
      <c r="E995" s="3"/>
      <c r="F995" s="90" t="s">
        <v>158</v>
      </c>
      <c r="G995" s="2">
        <v>640</v>
      </c>
      <c r="H995" s="3" t="s">
        <v>129</v>
      </c>
      <c r="I995" s="4">
        <f>3300+1602</f>
        <v>4902</v>
      </c>
      <c r="J995" s="4">
        <v>4644</v>
      </c>
      <c r="K995" s="361">
        <f t="shared" si="155"/>
        <v>94.73684210526315</v>
      </c>
      <c r="L995" s="4"/>
      <c r="M995" s="4"/>
      <c r="N995" s="361"/>
      <c r="O995" s="92">
        <f t="shared" si="157"/>
        <v>4902</v>
      </c>
      <c r="P995" s="92">
        <f t="shared" si="156"/>
        <v>4644</v>
      </c>
      <c r="Q995" s="361">
        <f t="shared" si="158"/>
        <v>94.73684210526315</v>
      </c>
    </row>
    <row r="996" spans="2:17" ht="15" x14ac:dyDescent="0.25">
      <c r="B996" s="18">
        <f t="shared" si="152"/>
        <v>501</v>
      </c>
      <c r="C996" s="176"/>
      <c r="D996" s="176"/>
      <c r="E996" s="176">
        <v>10</v>
      </c>
      <c r="F996" s="177"/>
      <c r="G996" s="177"/>
      <c r="H996" s="176" t="s">
        <v>0</v>
      </c>
      <c r="I996" s="178">
        <f>SUM(I997+I998+I999+I1004)</f>
        <v>173316</v>
      </c>
      <c r="J996" s="178">
        <f>SUM(J997+J998+J999+J1004)</f>
        <v>172681</v>
      </c>
      <c r="K996" s="361">
        <f t="shared" si="155"/>
        <v>99.633617207874636</v>
      </c>
      <c r="L996" s="178"/>
      <c r="M996" s="178"/>
      <c r="N996" s="361"/>
      <c r="O996" s="179">
        <f t="shared" si="157"/>
        <v>173316</v>
      </c>
      <c r="P996" s="179">
        <f t="shared" si="156"/>
        <v>172681</v>
      </c>
      <c r="Q996" s="361">
        <f t="shared" si="158"/>
        <v>99.633617207874636</v>
      </c>
    </row>
    <row r="997" spans="2:17" x14ac:dyDescent="0.2">
      <c r="B997" s="18">
        <f t="shared" si="152"/>
        <v>502</v>
      </c>
      <c r="C997" s="3"/>
      <c r="D997" s="3"/>
      <c r="E997" s="3"/>
      <c r="F997" s="90" t="s">
        <v>158</v>
      </c>
      <c r="G997" s="2">
        <v>610</v>
      </c>
      <c r="H997" s="3" t="s">
        <v>131</v>
      </c>
      <c r="I997" s="4">
        <f>102200+6535+7050-552</f>
        <v>115233</v>
      </c>
      <c r="J997" s="4">
        <v>115233</v>
      </c>
      <c r="K997" s="361">
        <f t="shared" si="155"/>
        <v>100</v>
      </c>
      <c r="L997" s="4"/>
      <c r="M997" s="4"/>
      <c r="N997" s="361"/>
      <c r="O997" s="92">
        <f t="shared" si="157"/>
        <v>115233</v>
      </c>
      <c r="P997" s="92">
        <f t="shared" si="156"/>
        <v>115233</v>
      </c>
      <c r="Q997" s="361">
        <f t="shared" si="158"/>
        <v>100</v>
      </c>
    </row>
    <row r="998" spans="2:17" x14ac:dyDescent="0.2">
      <c r="B998" s="18">
        <f t="shared" si="152"/>
        <v>503</v>
      </c>
      <c r="C998" s="3"/>
      <c r="D998" s="3"/>
      <c r="E998" s="3"/>
      <c r="F998" s="90" t="s">
        <v>158</v>
      </c>
      <c r="G998" s="2">
        <v>620</v>
      </c>
      <c r="H998" s="3" t="s">
        <v>124</v>
      </c>
      <c r="I998" s="4">
        <f>36120+2350+2550+400</f>
        <v>41420</v>
      </c>
      <c r="J998" s="4">
        <v>41420</v>
      </c>
      <c r="K998" s="361">
        <f t="shared" si="155"/>
        <v>100</v>
      </c>
      <c r="L998" s="4"/>
      <c r="M998" s="4"/>
      <c r="N998" s="361"/>
      <c r="O998" s="92">
        <f t="shared" si="157"/>
        <v>41420</v>
      </c>
      <c r="P998" s="92">
        <f t="shared" si="156"/>
        <v>41420</v>
      </c>
      <c r="Q998" s="361">
        <f t="shared" si="158"/>
        <v>100</v>
      </c>
    </row>
    <row r="999" spans="2:17" x14ac:dyDescent="0.2">
      <c r="B999" s="18">
        <f t="shared" si="152"/>
        <v>504</v>
      </c>
      <c r="C999" s="3"/>
      <c r="D999" s="3"/>
      <c r="E999" s="3"/>
      <c r="F999" s="90" t="s">
        <v>158</v>
      </c>
      <c r="G999" s="2">
        <v>630</v>
      </c>
      <c r="H999" s="3" t="s">
        <v>121</v>
      </c>
      <c r="I999" s="4">
        <f>SUM(I1000:I1003)</f>
        <v>16011</v>
      </c>
      <c r="J999" s="4">
        <f>SUM(J1000:J1003)</f>
        <v>15376</v>
      </c>
      <c r="K999" s="361">
        <f t="shared" si="155"/>
        <v>96.033976641059269</v>
      </c>
      <c r="L999" s="4"/>
      <c r="M999" s="4"/>
      <c r="N999" s="361"/>
      <c r="O999" s="92">
        <f t="shared" si="157"/>
        <v>16011</v>
      </c>
      <c r="P999" s="92">
        <f t="shared" si="156"/>
        <v>15376</v>
      </c>
      <c r="Q999" s="361">
        <f t="shared" si="158"/>
        <v>96.033976641059269</v>
      </c>
    </row>
    <row r="1000" spans="2:17" x14ac:dyDescent="0.2">
      <c r="B1000" s="18">
        <f t="shared" si="152"/>
        <v>505</v>
      </c>
      <c r="C1000" s="6"/>
      <c r="D1000" s="6"/>
      <c r="E1000" s="6"/>
      <c r="F1000" s="93"/>
      <c r="G1000" s="5">
        <v>632</v>
      </c>
      <c r="H1000" s="6" t="s">
        <v>134</v>
      </c>
      <c r="I1000" s="7">
        <v>3800</v>
      </c>
      <c r="J1000" s="7">
        <v>3800</v>
      </c>
      <c r="K1000" s="361">
        <f t="shared" si="155"/>
        <v>100</v>
      </c>
      <c r="L1000" s="7"/>
      <c r="M1000" s="7"/>
      <c r="N1000" s="361"/>
      <c r="O1000" s="95">
        <f t="shared" si="157"/>
        <v>3800</v>
      </c>
      <c r="P1000" s="95">
        <f t="shared" si="156"/>
        <v>3800</v>
      </c>
      <c r="Q1000" s="361">
        <f t="shared" si="158"/>
        <v>100</v>
      </c>
    </row>
    <row r="1001" spans="2:17" x14ac:dyDescent="0.2">
      <c r="B1001" s="18">
        <f t="shared" si="152"/>
        <v>506</v>
      </c>
      <c r="C1001" s="6"/>
      <c r="D1001" s="6"/>
      <c r="E1001" s="6"/>
      <c r="F1001" s="93"/>
      <c r="G1001" s="5">
        <v>633</v>
      </c>
      <c r="H1001" s="6" t="s">
        <v>125</v>
      </c>
      <c r="I1001" s="7">
        <f>8000-764-3280</f>
        <v>3956</v>
      </c>
      <c r="J1001" s="7">
        <v>3956</v>
      </c>
      <c r="K1001" s="361">
        <f t="shared" si="155"/>
        <v>100</v>
      </c>
      <c r="L1001" s="7"/>
      <c r="M1001" s="7"/>
      <c r="N1001" s="361"/>
      <c r="O1001" s="95">
        <f t="shared" si="157"/>
        <v>3956</v>
      </c>
      <c r="P1001" s="95">
        <f t="shared" si="156"/>
        <v>3956</v>
      </c>
      <c r="Q1001" s="361">
        <f t="shared" si="158"/>
        <v>100</v>
      </c>
    </row>
    <row r="1002" spans="2:17" x14ac:dyDescent="0.2">
      <c r="B1002" s="18">
        <f t="shared" si="152"/>
        <v>507</v>
      </c>
      <c r="C1002" s="6"/>
      <c r="D1002" s="6"/>
      <c r="E1002" s="6"/>
      <c r="F1002" s="93"/>
      <c r="G1002" s="5">
        <v>635</v>
      </c>
      <c r="H1002" s="6" t="s">
        <v>133</v>
      </c>
      <c r="I1002" s="7">
        <v>1000</v>
      </c>
      <c r="J1002" s="7">
        <v>1000</v>
      </c>
      <c r="K1002" s="361">
        <f t="shared" ref="K1002:K1033" si="159">J1002/I1002*100</f>
        <v>100</v>
      </c>
      <c r="L1002" s="7"/>
      <c r="M1002" s="7"/>
      <c r="N1002" s="361"/>
      <c r="O1002" s="95">
        <f t="shared" si="157"/>
        <v>1000</v>
      </c>
      <c r="P1002" s="95">
        <f t="shared" si="156"/>
        <v>1000</v>
      </c>
      <c r="Q1002" s="361">
        <f t="shared" si="158"/>
        <v>100</v>
      </c>
    </row>
    <row r="1003" spans="2:17" x14ac:dyDescent="0.2">
      <c r="B1003" s="18">
        <f t="shared" si="152"/>
        <v>508</v>
      </c>
      <c r="C1003" s="6"/>
      <c r="D1003" s="6"/>
      <c r="E1003" s="6"/>
      <c r="F1003" s="93"/>
      <c r="G1003" s="5">
        <v>637</v>
      </c>
      <c r="H1003" s="6" t="s">
        <v>122</v>
      </c>
      <c r="I1003" s="7">
        <f>2475+1500+3280</f>
        <v>7255</v>
      </c>
      <c r="J1003" s="7">
        <v>6620</v>
      </c>
      <c r="K1003" s="361">
        <f t="shared" si="159"/>
        <v>91.247415575465197</v>
      </c>
      <c r="L1003" s="7"/>
      <c r="M1003" s="7"/>
      <c r="N1003" s="361"/>
      <c r="O1003" s="95">
        <f t="shared" si="157"/>
        <v>7255</v>
      </c>
      <c r="P1003" s="95">
        <f t="shared" si="156"/>
        <v>6620</v>
      </c>
      <c r="Q1003" s="361">
        <f t="shared" si="158"/>
        <v>91.247415575465197</v>
      </c>
    </row>
    <row r="1004" spans="2:17" x14ac:dyDescent="0.2">
      <c r="B1004" s="18">
        <f t="shared" si="152"/>
        <v>509</v>
      </c>
      <c r="C1004" s="3"/>
      <c r="D1004" s="3"/>
      <c r="E1004" s="3"/>
      <c r="F1004" s="90" t="s">
        <v>158</v>
      </c>
      <c r="G1004" s="2">
        <v>640</v>
      </c>
      <c r="H1004" s="3" t="s">
        <v>129</v>
      </c>
      <c r="I1004" s="4">
        <f>500+152</f>
        <v>652</v>
      </c>
      <c r="J1004" s="4">
        <v>652</v>
      </c>
      <c r="K1004" s="361">
        <f t="shared" si="159"/>
        <v>100</v>
      </c>
      <c r="L1004" s="4"/>
      <c r="M1004" s="4"/>
      <c r="N1004" s="361"/>
      <c r="O1004" s="92">
        <f t="shared" si="157"/>
        <v>652</v>
      </c>
      <c r="P1004" s="92">
        <f t="shared" si="156"/>
        <v>652</v>
      </c>
      <c r="Q1004" s="361">
        <f t="shared" si="158"/>
        <v>100</v>
      </c>
    </row>
    <row r="1005" spans="2:17" ht="15" x14ac:dyDescent="0.25">
      <c r="B1005" s="18">
        <f t="shared" si="152"/>
        <v>510</v>
      </c>
      <c r="C1005" s="176"/>
      <c r="D1005" s="176"/>
      <c r="E1005" s="176">
        <v>11</v>
      </c>
      <c r="F1005" s="177"/>
      <c r="G1005" s="177"/>
      <c r="H1005" s="176" t="s">
        <v>7</v>
      </c>
      <c r="I1005" s="178">
        <f>I1006+I1007+I1008+I1013</f>
        <v>385067</v>
      </c>
      <c r="J1005" s="178">
        <f>J1006+J1007+J1008+J1013</f>
        <v>385067</v>
      </c>
      <c r="K1005" s="361">
        <f t="shared" si="159"/>
        <v>100</v>
      </c>
      <c r="L1005" s="178"/>
      <c r="M1005" s="178"/>
      <c r="N1005" s="361"/>
      <c r="O1005" s="179">
        <f t="shared" si="157"/>
        <v>385067</v>
      </c>
      <c r="P1005" s="179">
        <f t="shared" si="156"/>
        <v>385067</v>
      </c>
      <c r="Q1005" s="361">
        <f t="shared" si="158"/>
        <v>100</v>
      </c>
    </row>
    <row r="1006" spans="2:17" x14ac:dyDescent="0.2">
      <c r="B1006" s="18">
        <f t="shared" si="152"/>
        <v>511</v>
      </c>
      <c r="C1006" s="3"/>
      <c r="D1006" s="3"/>
      <c r="E1006" s="3"/>
      <c r="F1006" s="90" t="s">
        <v>158</v>
      </c>
      <c r="G1006" s="2">
        <v>610</v>
      </c>
      <c r="H1006" s="3" t="s">
        <v>131</v>
      </c>
      <c r="I1006" s="4">
        <f>252970+3000</f>
        <v>255970</v>
      </c>
      <c r="J1006" s="4">
        <v>255970</v>
      </c>
      <c r="K1006" s="361">
        <f t="shared" si="159"/>
        <v>100</v>
      </c>
      <c r="L1006" s="4"/>
      <c r="M1006" s="4"/>
      <c r="N1006" s="361"/>
      <c r="O1006" s="92">
        <f t="shared" si="157"/>
        <v>255970</v>
      </c>
      <c r="P1006" s="92">
        <f t="shared" si="156"/>
        <v>255970</v>
      </c>
      <c r="Q1006" s="361">
        <f t="shared" si="158"/>
        <v>100</v>
      </c>
    </row>
    <row r="1007" spans="2:17" x14ac:dyDescent="0.2">
      <c r="B1007" s="18">
        <f t="shared" si="152"/>
        <v>512</v>
      </c>
      <c r="C1007" s="3"/>
      <c r="D1007" s="3"/>
      <c r="E1007" s="3"/>
      <c r="F1007" s="90" t="s">
        <v>158</v>
      </c>
      <c r="G1007" s="2">
        <v>620</v>
      </c>
      <c r="H1007" s="3" t="s">
        <v>124</v>
      </c>
      <c r="I1007" s="4">
        <f>95435-3000</f>
        <v>92435</v>
      </c>
      <c r="J1007" s="4">
        <v>92435</v>
      </c>
      <c r="K1007" s="361">
        <f t="shared" si="159"/>
        <v>100</v>
      </c>
      <c r="L1007" s="4"/>
      <c r="M1007" s="4"/>
      <c r="N1007" s="361"/>
      <c r="O1007" s="92">
        <f t="shared" si="157"/>
        <v>92435</v>
      </c>
      <c r="P1007" s="92">
        <f t="shared" si="156"/>
        <v>92435</v>
      </c>
      <c r="Q1007" s="361">
        <f t="shared" si="158"/>
        <v>100</v>
      </c>
    </row>
    <row r="1008" spans="2:17" x14ac:dyDescent="0.2">
      <c r="B1008" s="18">
        <f t="shared" si="152"/>
        <v>513</v>
      </c>
      <c r="C1008" s="3"/>
      <c r="D1008" s="3"/>
      <c r="E1008" s="3"/>
      <c r="F1008" s="90" t="s">
        <v>158</v>
      </c>
      <c r="G1008" s="2">
        <v>630</v>
      </c>
      <c r="H1008" s="3" t="s">
        <v>121</v>
      </c>
      <c r="I1008" s="4">
        <f>SUM(I1009:I1012)</f>
        <v>34162</v>
      </c>
      <c r="J1008" s="4">
        <f>SUM(J1009:J1012)</f>
        <v>34162</v>
      </c>
      <c r="K1008" s="361">
        <f t="shared" si="159"/>
        <v>100</v>
      </c>
      <c r="L1008" s="4"/>
      <c r="M1008" s="4"/>
      <c r="N1008" s="361"/>
      <c r="O1008" s="92">
        <f t="shared" si="157"/>
        <v>34162</v>
      </c>
      <c r="P1008" s="92">
        <f t="shared" si="156"/>
        <v>34162</v>
      </c>
      <c r="Q1008" s="361">
        <f t="shared" si="158"/>
        <v>100</v>
      </c>
    </row>
    <row r="1009" spans="2:17" x14ac:dyDescent="0.2">
      <c r="B1009" s="18">
        <f t="shared" ref="B1009:B1072" si="160">B1008+1</f>
        <v>514</v>
      </c>
      <c r="C1009" s="6"/>
      <c r="D1009" s="6"/>
      <c r="E1009" s="6"/>
      <c r="F1009" s="93"/>
      <c r="G1009" s="5">
        <v>632</v>
      </c>
      <c r="H1009" s="6" t="s">
        <v>134</v>
      </c>
      <c r="I1009" s="7">
        <f>16100-1000-600</f>
        <v>14500</v>
      </c>
      <c r="J1009" s="7">
        <v>14500</v>
      </c>
      <c r="K1009" s="361">
        <f t="shared" si="159"/>
        <v>100</v>
      </c>
      <c r="L1009" s="7"/>
      <c r="M1009" s="7"/>
      <c r="N1009" s="361"/>
      <c r="O1009" s="95">
        <f t="shared" si="157"/>
        <v>14500</v>
      </c>
      <c r="P1009" s="95">
        <f t="shared" si="156"/>
        <v>14500</v>
      </c>
      <c r="Q1009" s="361">
        <f t="shared" si="158"/>
        <v>100</v>
      </c>
    </row>
    <row r="1010" spans="2:17" x14ac:dyDescent="0.2">
      <c r="B1010" s="18">
        <f t="shared" si="160"/>
        <v>515</v>
      </c>
      <c r="C1010" s="6"/>
      <c r="D1010" s="6"/>
      <c r="E1010" s="6"/>
      <c r="F1010" s="93"/>
      <c r="G1010" s="5">
        <v>633</v>
      </c>
      <c r="H1010" s="6" t="s">
        <v>125</v>
      </c>
      <c r="I1010" s="7">
        <f>7260-1798+2000+600</f>
        <v>8062</v>
      </c>
      <c r="J1010" s="7">
        <v>8062</v>
      </c>
      <c r="K1010" s="361">
        <f t="shared" si="159"/>
        <v>100</v>
      </c>
      <c r="L1010" s="7"/>
      <c r="M1010" s="7"/>
      <c r="N1010" s="361"/>
      <c r="O1010" s="95">
        <f t="shared" si="157"/>
        <v>8062</v>
      </c>
      <c r="P1010" s="95">
        <f t="shared" si="156"/>
        <v>8062</v>
      </c>
      <c r="Q1010" s="361">
        <f t="shared" si="158"/>
        <v>100</v>
      </c>
    </row>
    <row r="1011" spans="2:17" x14ac:dyDescent="0.2">
      <c r="B1011" s="18">
        <f t="shared" si="160"/>
        <v>516</v>
      </c>
      <c r="C1011" s="6"/>
      <c r="D1011" s="6"/>
      <c r="E1011" s="6"/>
      <c r="F1011" s="93"/>
      <c r="G1011" s="5">
        <v>635</v>
      </c>
      <c r="H1011" s="6" t="s">
        <v>133</v>
      </c>
      <c r="I1011" s="7">
        <v>3000</v>
      </c>
      <c r="J1011" s="7">
        <v>3000</v>
      </c>
      <c r="K1011" s="361">
        <f t="shared" si="159"/>
        <v>100</v>
      </c>
      <c r="L1011" s="7"/>
      <c r="M1011" s="7"/>
      <c r="N1011" s="361"/>
      <c r="O1011" s="95">
        <f t="shared" si="157"/>
        <v>3000</v>
      </c>
      <c r="P1011" s="95">
        <f t="shared" si="156"/>
        <v>3000</v>
      </c>
      <c r="Q1011" s="361">
        <f t="shared" si="158"/>
        <v>100</v>
      </c>
    </row>
    <row r="1012" spans="2:17" x14ac:dyDescent="0.2">
      <c r="B1012" s="18">
        <f t="shared" si="160"/>
        <v>517</v>
      </c>
      <c r="C1012" s="6"/>
      <c r="D1012" s="6"/>
      <c r="E1012" s="6"/>
      <c r="F1012" s="93"/>
      <c r="G1012" s="5">
        <v>637</v>
      </c>
      <c r="H1012" s="6" t="s">
        <v>122</v>
      </c>
      <c r="I1012" s="7">
        <f>9600-1000</f>
        <v>8600</v>
      </c>
      <c r="J1012" s="7">
        <v>8600</v>
      </c>
      <c r="K1012" s="361">
        <f t="shared" si="159"/>
        <v>100</v>
      </c>
      <c r="L1012" s="7"/>
      <c r="M1012" s="7"/>
      <c r="N1012" s="361"/>
      <c r="O1012" s="95">
        <f t="shared" si="157"/>
        <v>8600</v>
      </c>
      <c r="P1012" s="95">
        <f t="shared" si="156"/>
        <v>8600</v>
      </c>
      <c r="Q1012" s="361">
        <f t="shared" si="158"/>
        <v>100</v>
      </c>
    </row>
    <row r="1013" spans="2:17" x14ac:dyDescent="0.2">
      <c r="B1013" s="18">
        <f t="shared" si="160"/>
        <v>518</v>
      </c>
      <c r="C1013" s="3"/>
      <c r="D1013" s="3"/>
      <c r="E1013" s="3"/>
      <c r="F1013" s="90" t="s">
        <v>158</v>
      </c>
      <c r="G1013" s="2">
        <v>640</v>
      </c>
      <c r="H1013" s="3" t="s">
        <v>129</v>
      </c>
      <c r="I1013" s="4">
        <f>5000-2500</f>
        <v>2500</v>
      </c>
      <c r="J1013" s="4">
        <v>2500</v>
      </c>
      <c r="K1013" s="361">
        <f t="shared" si="159"/>
        <v>100</v>
      </c>
      <c r="L1013" s="4"/>
      <c r="M1013" s="4"/>
      <c r="N1013" s="361"/>
      <c r="O1013" s="92">
        <f t="shared" si="157"/>
        <v>2500</v>
      </c>
      <c r="P1013" s="92">
        <f t="shared" si="156"/>
        <v>2500</v>
      </c>
      <c r="Q1013" s="361">
        <f t="shared" si="158"/>
        <v>100</v>
      </c>
    </row>
    <row r="1014" spans="2:17" ht="15" x14ac:dyDescent="0.25">
      <c r="B1014" s="18">
        <f t="shared" si="160"/>
        <v>519</v>
      </c>
      <c r="C1014" s="176"/>
      <c r="D1014" s="176"/>
      <c r="E1014" s="176">
        <v>12</v>
      </c>
      <c r="F1014" s="177"/>
      <c r="G1014" s="177"/>
      <c r="H1014" s="176" t="s">
        <v>5</v>
      </c>
      <c r="I1014" s="178">
        <f>I1015+I1016+I1017+I1022</f>
        <v>331866</v>
      </c>
      <c r="J1014" s="178">
        <f>J1015+J1016+J1017+J1022</f>
        <v>328062</v>
      </c>
      <c r="K1014" s="361">
        <f t="shared" si="159"/>
        <v>98.853754226103305</v>
      </c>
      <c r="L1014" s="178"/>
      <c r="M1014" s="178"/>
      <c r="N1014" s="361"/>
      <c r="O1014" s="179">
        <f t="shared" si="157"/>
        <v>331866</v>
      </c>
      <c r="P1014" s="179">
        <f t="shared" si="156"/>
        <v>328062</v>
      </c>
      <c r="Q1014" s="361">
        <f t="shared" si="158"/>
        <v>98.853754226103305</v>
      </c>
    </row>
    <row r="1015" spans="2:17" x14ac:dyDescent="0.2">
      <c r="B1015" s="18">
        <f t="shared" si="160"/>
        <v>520</v>
      </c>
      <c r="C1015" s="3"/>
      <c r="D1015" s="3"/>
      <c r="E1015" s="3"/>
      <c r="F1015" s="90" t="s">
        <v>158</v>
      </c>
      <c r="G1015" s="2">
        <v>610</v>
      </c>
      <c r="H1015" s="3" t="s">
        <v>131</v>
      </c>
      <c r="I1015" s="4">
        <f>220640+1080</f>
        <v>221720</v>
      </c>
      <c r="J1015" s="4">
        <v>221115</v>
      </c>
      <c r="K1015" s="361">
        <f t="shared" si="159"/>
        <v>99.727133321306155</v>
      </c>
      <c r="L1015" s="4"/>
      <c r="M1015" s="4"/>
      <c r="N1015" s="361"/>
      <c r="O1015" s="92">
        <f t="shared" si="157"/>
        <v>221720</v>
      </c>
      <c r="P1015" s="92">
        <f t="shared" si="156"/>
        <v>221115</v>
      </c>
      <c r="Q1015" s="361">
        <f t="shared" si="158"/>
        <v>99.727133321306155</v>
      </c>
    </row>
    <row r="1016" spans="2:17" x14ac:dyDescent="0.2">
      <c r="B1016" s="18">
        <f t="shared" si="160"/>
        <v>521</v>
      </c>
      <c r="C1016" s="3"/>
      <c r="D1016" s="3"/>
      <c r="E1016" s="3"/>
      <c r="F1016" s="90" t="s">
        <v>158</v>
      </c>
      <c r="G1016" s="2">
        <v>620</v>
      </c>
      <c r="H1016" s="3" t="s">
        <v>124</v>
      </c>
      <c r="I1016" s="4">
        <f>76800+386+1500</f>
        <v>78686</v>
      </c>
      <c r="J1016" s="4">
        <v>78635</v>
      </c>
      <c r="K1016" s="361">
        <f t="shared" si="159"/>
        <v>99.93518542053225</v>
      </c>
      <c r="L1016" s="4"/>
      <c r="M1016" s="4"/>
      <c r="N1016" s="361"/>
      <c r="O1016" s="92">
        <f t="shared" si="157"/>
        <v>78686</v>
      </c>
      <c r="P1016" s="92">
        <f t="shared" ref="P1016:P1046" si="161">J1016+M1016</f>
        <v>78635</v>
      </c>
      <c r="Q1016" s="361">
        <f t="shared" si="158"/>
        <v>99.93518542053225</v>
      </c>
    </row>
    <row r="1017" spans="2:17" x14ac:dyDescent="0.2">
      <c r="B1017" s="18">
        <f t="shared" si="160"/>
        <v>522</v>
      </c>
      <c r="C1017" s="3"/>
      <c r="D1017" s="3"/>
      <c r="E1017" s="3"/>
      <c r="F1017" s="90" t="s">
        <v>158</v>
      </c>
      <c r="G1017" s="2">
        <v>630</v>
      </c>
      <c r="H1017" s="3" t="s">
        <v>121</v>
      </c>
      <c r="I1017" s="4">
        <f>SUM(I1018:I1021)</f>
        <v>25460</v>
      </c>
      <c r="J1017" s="4">
        <f>SUM(J1018:J1021)</f>
        <v>25361</v>
      </c>
      <c r="K1017" s="361">
        <f t="shared" si="159"/>
        <v>99.61115475255302</v>
      </c>
      <c r="L1017" s="4"/>
      <c r="M1017" s="4"/>
      <c r="N1017" s="361"/>
      <c r="O1017" s="92">
        <f t="shared" si="157"/>
        <v>25460</v>
      </c>
      <c r="P1017" s="92">
        <f t="shared" si="161"/>
        <v>25361</v>
      </c>
      <c r="Q1017" s="361">
        <f t="shared" si="158"/>
        <v>99.61115475255302</v>
      </c>
    </row>
    <row r="1018" spans="2:17" x14ac:dyDescent="0.2">
      <c r="B1018" s="18">
        <f t="shared" si="160"/>
        <v>523</v>
      </c>
      <c r="C1018" s="6"/>
      <c r="D1018" s="6"/>
      <c r="E1018" s="6"/>
      <c r="F1018" s="93"/>
      <c r="G1018" s="5">
        <v>631</v>
      </c>
      <c r="H1018" s="6" t="s">
        <v>127</v>
      </c>
      <c r="I1018" s="7">
        <v>100</v>
      </c>
      <c r="J1018" s="7">
        <v>100</v>
      </c>
      <c r="K1018" s="361">
        <f t="shared" si="159"/>
        <v>100</v>
      </c>
      <c r="L1018" s="7"/>
      <c r="M1018" s="7"/>
      <c r="N1018" s="361"/>
      <c r="O1018" s="95">
        <f t="shared" ref="O1018:O1046" si="162">I1018+L1018</f>
        <v>100</v>
      </c>
      <c r="P1018" s="95">
        <f t="shared" si="161"/>
        <v>100</v>
      </c>
      <c r="Q1018" s="361">
        <f t="shared" si="158"/>
        <v>100</v>
      </c>
    </row>
    <row r="1019" spans="2:17" x14ac:dyDescent="0.2">
      <c r="B1019" s="18">
        <f t="shared" si="160"/>
        <v>524</v>
      </c>
      <c r="C1019" s="6"/>
      <c r="D1019" s="6"/>
      <c r="E1019" s="6"/>
      <c r="F1019" s="93"/>
      <c r="G1019" s="5">
        <v>632</v>
      </c>
      <c r="H1019" s="6" t="s">
        <v>134</v>
      </c>
      <c r="I1019" s="7">
        <v>11000</v>
      </c>
      <c r="J1019" s="7">
        <v>10901</v>
      </c>
      <c r="K1019" s="361">
        <f t="shared" si="159"/>
        <v>99.1</v>
      </c>
      <c r="L1019" s="7"/>
      <c r="M1019" s="7"/>
      <c r="N1019" s="361"/>
      <c r="O1019" s="95">
        <f t="shared" si="162"/>
        <v>11000</v>
      </c>
      <c r="P1019" s="95">
        <f t="shared" si="161"/>
        <v>10901</v>
      </c>
      <c r="Q1019" s="361">
        <f t="shared" si="158"/>
        <v>99.1</v>
      </c>
    </row>
    <row r="1020" spans="2:17" s="122" customFormat="1" x14ac:dyDescent="0.2">
      <c r="B1020" s="18">
        <f t="shared" si="160"/>
        <v>525</v>
      </c>
      <c r="C1020" s="6"/>
      <c r="D1020" s="6"/>
      <c r="E1020" s="6"/>
      <c r="F1020" s="93"/>
      <c r="G1020" s="5">
        <v>633</v>
      </c>
      <c r="H1020" s="6" t="s">
        <v>125</v>
      </c>
      <c r="I1020" s="7">
        <f>11100-1340</f>
        <v>9760</v>
      </c>
      <c r="J1020" s="7">
        <v>9760</v>
      </c>
      <c r="K1020" s="361">
        <f t="shared" si="159"/>
        <v>100</v>
      </c>
      <c r="L1020" s="7"/>
      <c r="M1020" s="7"/>
      <c r="N1020" s="361"/>
      <c r="O1020" s="95">
        <f t="shared" si="162"/>
        <v>9760</v>
      </c>
      <c r="P1020" s="95">
        <f t="shared" si="161"/>
        <v>9760</v>
      </c>
      <c r="Q1020" s="361">
        <f t="shared" si="158"/>
        <v>100</v>
      </c>
    </row>
    <row r="1021" spans="2:17" s="122" customFormat="1" x14ac:dyDescent="0.2">
      <c r="B1021" s="18">
        <f t="shared" si="160"/>
        <v>526</v>
      </c>
      <c r="C1021" s="6"/>
      <c r="D1021" s="6"/>
      <c r="E1021" s="6"/>
      <c r="F1021" s="93"/>
      <c r="G1021" s="5">
        <v>637</v>
      </c>
      <c r="H1021" s="6" t="s">
        <v>122</v>
      </c>
      <c r="I1021" s="7">
        <v>4600</v>
      </c>
      <c r="J1021" s="7">
        <v>4600</v>
      </c>
      <c r="K1021" s="361">
        <f t="shared" si="159"/>
        <v>100</v>
      </c>
      <c r="L1021" s="7"/>
      <c r="M1021" s="7"/>
      <c r="N1021" s="361"/>
      <c r="O1021" s="95">
        <f t="shared" si="162"/>
        <v>4600</v>
      </c>
      <c r="P1021" s="95">
        <f t="shared" si="161"/>
        <v>4600</v>
      </c>
      <c r="Q1021" s="361">
        <f t="shared" si="158"/>
        <v>100</v>
      </c>
    </row>
    <row r="1022" spans="2:17" s="122" customFormat="1" x14ac:dyDescent="0.2">
      <c r="B1022" s="18">
        <f t="shared" si="160"/>
        <v>527</v>
      </c>
      <c r="C1022" s="3"/>
      <c r="D1022" s="3"/>
      <c r="E1022" s="3"/>
      <c r="F1022" s="90" t="s">
        <v>158</v>
      </c>
      <c r="G1022" s="2">
        <v>640</v>
      </c>
      <c r="H1022" s="3" t="s">
        <v>129</v>
      </c>
      <c r="I1022" s="4">
        <f>7500-1500</f>
        <v>6000</v>
      </c>
      <c r="J1022" s="4">
        <v>2951</v>
      </c>
      <c r="K1022" s="361">
        <f t="shared" si="159"/>
        <v>49.183333333333337</v>
      </c>
      <c r="L1022" s="4"/>
      <c r="M1022" s="4"/>
      <c r="N1022" s="361"/>
      <c r="O1022" s="92">
        <f t="shared" si="162"/>
        <v>6000</v>
      </c>
      <c r="P1022" s="92">
        <f t="shared" si="161"/>
        <v>2951</v>
      </c>
      <c r="Q1022" s="361">
        <f t="shared" si="158"/>
        <v>49.183333333333337</v>
      </c>
    </row>
    <row r="1023" spans="2:17" ht="15" x14ac:dyDescent="0.25">
      <c r="B1023" s="18">
        <f t="shared" si="160"/>
        <v>528</v>
      </c>
      <c r="C1023" s="176"/>
      <c r="D1023" s="176"/>
      <c r="E1023" s="176">
        <v>13</v>
      </c>
      <c r="F1023" s="177"/>
      <c r="G1023" s="177"/>
      <c r="H1023" s="176" t="s">
        <v>12</v>
      </c>
      <c r="I1023" s="178">
        <f>I1024+I1025+I1026+I1031</f>
        <v>115627</v>
      </c>
      <c r="J1023" s="178">
        <f>J1024+J1025+J1026+J1031</f>
        <v>113176</v>
      </c>
      <c r="K1023" s="361">
        <f t="shared" si="159"/>
        <v>97.880252882112302</v>
      </c>
      <c r="L1023" s="178"/>
      <c r="M1023" s="178"/>
      <c r="N1023" s="361"/>
      <c r="O1023" s="179">
        <f t="shared" si="162"/>
        <v>115627</v>
      </c>
      <c r="P1023" s="179">
        <f t="shared" si="161"/>
        <v>113176</v>
      </c>
      <c r="Q1023" s="361">
        <f t="shared" si="158"/>
        <v>97.880252882112302</v>
      </c>
    </row>
    <row r="1024" spans="2:17" x14ac:dyDescent="0.2">
      <c r="B1024" s="18">
        <f t="shared" si="160"/>
        <v>529</v>
      </c>
      <c r="C1024" s="3"/>
      <c r="D1024" s="3"/>
      <c r="E1024" s="3"/>
      <c r="F1024" s="90" t="s">
        <v>158</v>
      </c>
      <c r="G1024" s="2">
        <v>610</v>
      </c>
      <c r="H1024" s="3" t="s">
        <v>131</v>
      </c>
      <c r="I1024" s="4">
        <f>67340+200</f>
        <v>67540</v>
      </c>
      <c r="J1024" s="4">
        <v>67540</v>
      </c>
      <c r="K1024" s="361">
        <f t="shared" si="159"/>
        <v>100</v>
      </c>
      <c r="L1024" s="4"/>
      <c r="M1024" s="4"/>
      <c r="N1024" s="361"/>
      <c r="O1024" s="92">
        <f t="shared" si="162"/>
        <v>67540</v>
      </c>
      <c r="P1024" s="92">
        <f t="shared" si="161"/>
        <v>67540</v>
      </c>
      <c r="Q1024" s="361">
        <f t="shared" si="158"/>
        <v>100</v>
      </c>
    </row>
    <row r="1025" spans="2:17" x14ac:dyDescent="0.2">
      <c r="B1025" s="18">
        <f t="shared" si="160"/>
        <v>530</v>
      </c>
      <c r="C1025" s="3"/>
      <c r="D1025" s="3"/>
      <c r="E1025" s="3"/>
      <c r="F1025" s="90" t="s">
        <v>158</v>
      </c>
      <c r="G1025" s="2">
        <v>620</v>
      </c>
      <c r="H1025" s="3" t="s">
        <v>124</v>
      </c>
      <c r="I1025" s="4">
        <v>24410</v>
      </c>
      <c r="J1025" s="4">
        <v>24410</v>
      </c>
      <c r="K1025" s="361">
        <f t="shared" si="159"/>
        <v>100</v>
      </c>
      <c r="L1025" s="4"/>
      <c r="M1025" s="4"/>
      <c r="N1025" s="361"/>
      <c r="O1025" s="92">
        <f t="shared" si="162"/>
        <v>24410</v>
      </c>
      <c r="P1025" s="92">
        <f t="shared" si="161"/>
        <v>24410</v>
      </c>
      <c r="Q1025" s="361">
        <f t="shared" si="158"/>
        <v>100</v>
      </c>
    </row>
    <row r="1026" spans="2:17" x14ac:dyDescent="0.2">
      <c r="B1026" s="18">
        <f t="shared" si="160"/>
        <v>531</v>
      </c>
      <c r="C1026" s="3"/>
      <c r="D1026" s="3"/>
      <c r="E1026" s="3"/>
      <c r="F1026" s="90" t="s">
        <v>158</v>
      </c>
      <c r="G1026" s="2">
        <v>630</v>
      </c>
      <c r="H1026" s="3" t="s">
        <v>121</v>
      </c>
      <c r="I1026" s="4">
        <f>SUM(I1027:I1030)</f>
        <v>21226</v>
      </c>
      <c r="J1026" s="4">
        <f>SUM(J1027:J1030)</f>
        <v>21226</v>
      </c>
      <c r="K1026" s="361">
        <f t="shared" si="159"/>
        <v>100</v>
      </c>
      <c r="L1026" s="4"/>
      <c r="M1026" s="4"/>
      <c r="N1026" s="361"/>
      <c r="O1026" s="92">
        <f t="shared" si="162"/>
        <v>21226</v>
      </c>
      <c r="P1026" s="92">
        <f t="shared" si="161"/>
        <v>21226</v>
      </c>
      <c r="Q1026" s="361">
        <f t="shared" si="158"/>
        <v>100</v>
      </c>
    </row>
    <row r="1027" spans="2:17" x14ac:dyDescent="0.2">
      <c r="B1027" s="18">
        <f t="shared" si="160"/>
        <v>532</v>
      </c>
      <c r="C1027" s="6"/>
      <c r="D1027" s="6"/>
      <c r="E1027" s="6"/>
      <c r="F1027" s="93"/>
      <c r="G1027" s="5">
        <v>632</v>
      </c>
      <c r="H1027" s="6" t="s">
        <v>134</v>
      </c>
      <c r="I1027" s="7">
        <f>12900-1000</f>
        <v>11900</v>
      </c>
      <c r="J1027" s="7">
        <v>11900</v>
      </c>
      <c r="K1027" s="361">
        <f t="shared" si="159"/>
        <v>100</v>
      </c>
      <c r="L1027" s="7"/>
      <c r="M1027" s="7"/>
      <c r="N1027" s="361"/>
      <c r="O1027" s="95">
        <f t="shared" si="162"/>
        <v>11900</v>
      </c>
      <c r="P1027" s="95">
        <f t="shared" si="161"/>
        <v>11900</v>
      </c>
      <c r="Q1027" s="361">
        <f t="shared" si="158"/>
        <v>100</v>
      </c>
    </row>
    <row r="1028" spans="2:17" x14ac:dyDescent="0.2">
      <c r="B1028" s="18">
        <f t="shared" si="160"/>
        <v>533</v>
      </c>
      <c r="C1028" s="6"/>
      <c r="D1028" s="6"/>
      <c r="E1028" s="6"/>
      <c r="F1028" s="93"/>
      <c r="G1028" s="5">
        <v>633</v>
      </c>
      <c r="H1028" s="6" t="s">
        <v>125</v>
      </c>
      <c r="I1028" s="7">
        <f>4500-1104</f>
        <v>3396</v>
      </c>
      <c r="J1028" s="7">
        <v>3396</v>
      </c>
      <c r="K1028" s="361">
        <f t="shared" si="159"/>
        <v>100</v>
      </c>
      <c r="L1028" s="7"/>
      <c r="M1028" s="7"/>
      <c r="N1028" s="361"/>
      <c r="O1028" s="95">
        <f t="shared" si="162"/>
        <v>3396</v>
      </c>
      <c r="P1028" s="95">
        <f t="shared" si="161"/>
        <v>3396</v>
      </c>
      <c r="Q1028" s="361">
        <f t="shared" si="158"/>
        <v>100</v>
      </c>
    </row>
    <row r="1029" spans="2:17" x14ac:dyDescent="0.2">
      <c r="B1029" s="18">
        <f t="shared" si="160"/>
        <v>534</v>
      </c>
      <c r="C1029" s="6"/>
      <c r="D1029" s="6"/>
      <c r="E1029" s="6"/>
      <c r="F1029" s="93"/>
      <c r="G1029" s="5">
        <v>635</v>
      </c>
      <c r="H1029" s="6" t="s">
        <v>133</v>
      </c>
      <c r="I1029" s="7">
        <v>3500</v>
      </c>
      <c r="J1029" s="7">
        <v>3500</v>
      </c>
      <c r="K1029" s="361">
        <f t="shared" si="159"/>
        <v>100</v>
      </c>
      <c r="L1029" s="7"/>
      <c r="M1029" s="7"/>
      <c r="N1029" s="361"/>
      <c r="O1029" s="95">
        <f t="shared" si="162"/>
        <v>3500</v>
      </c>
      <c r="P1029" s="95">
        <f t="shared" si="161"/>
        <v>3500</v>
      </c>
      <c r="Q1029" s="361">
        <f t="shared" si="158"/>
        <v>100</v>
      </c>
    </row>
    <row r="1030" spans="2:17" x14ac:dyDescent="0.2">
      <c r="B1030" s="18">
        <f t="shared" si="160"/>
        <v>535</v>
      </c>
      <c r="C1030" s="6"/>
      <c r="D1030" s="6"/>
      <c r="E1030" s="6"/>
      <c r="F1030" s="93"/>
      <c r="G1030" s="5">
        <v>637</v>
      </c>
      <c r="H1030" s="6" t="s">
        <v>122</v>
      </c>
      <c r="I1030" s="7">
        <f>1180+1250</f>
        <v>2430</v>
      </c>
      <c r="J1030" s="7">
        <v>2430</v>
      </c>
      <c r="K1030" s="361">
        <f t="shared" si="159"/>
        <v>100</v>
      </c>
      <c r="L1030" s="7"/>
      <c r="M1030" s="7"/>
      <c r="N1030" s="361"/>
      <c r="O1030" s="95">
        <f t="shared" si="162"/>
        <v>2430</v>
      </c>
      <c r="P1030" s="95">
        <f t="shared" si="161"/>
        <v>2430</v>
      </c>
      <c r="Q1030" s="361">
        <f t="shared" si="158"/>
        <v>100</v>
      </c>
    </row>
    <row r="1031" spans="2:17" x14ac:dyDescent="0.2">
      <c r="B1031" s="18">
        <f t="shared" si="160"/>
        <v>536</v>
      </c>
      <c r="C1031" s="3"/>
      <c r="D1031" s="3"/>
      <c r="E1031" s="3"/>
      <c r="F1031" s="90" t="s">
        <v>158</v>
      </c>
      <c r="G1031" s="2">
        <v>640</v>
      </c>
      <c r="H1031" s="3" t="s">
        <v>129</v>
      </c>
      <c r="I1031" s="4">
        <f>2901-450</f>
        <v>2451</v>
      </c>
      <c r="J1031" s="4">
        <v>0</v>
      </c>
      <c r="K1031" s="361">
        <f t="shared" si="159"/>
        <v>0</v>
      </c>
      <c r="L1031" s="4"/>
      <c r="M1031" s="4"/>
      <c r="N1031" s="361"/>
      <c r="O1031" s="92">
        <f t="shared" si="162"/>
        <v>2451</v>
      </c>
      <c r="P1031" s="92">
        <f t="shared" si="161"/>
        <v>0</v>
      </c>
      <c r="Q1031" s="361">
        <f t="shared" si="158"/>
        <v>0</v>
      </c>
    </row>
    <row r="1032" spans="2:17" ht="15" x14ac:dyDescent="0.25">
      <c r="B1032" s="18">
        <f t="shared" si="160"/>
        <v>537</v>
      </c>
      <c r="C1032" s="176"/>
      <c r="D1032" s="176"/>
      <c r="E1032" s="176">
        <v>14</v>
      </c>
      <c r="F1032" s="177"/>
      <c r="G1032" s="177"/>
      <c r="H1032" s="176" t="s">
        <v>1</v>
      </c>
      <c r="I1032" s="178">
        <f>I1033+I1034+I1035+I1042</f>
        <v>1768550</v>
      </c>
      <c r="J1032" s="178">
        <f>J1033+J1034+J1035+J1042</f>
        <v>1749141</v>
      </c>
      <c r="K1032" s="361">
        <f t="shared" si="159"/>
        <v>98.902547284498596</v>
      </c>
      <c r="L1032" s="178">
        <f>L1043</f>
        <v>61000</v>
      </c>
      <c r="M1032" s="178">
        <f>M1043</f>
        <v>60860</v>
      </c>
      <c r="N1032" s="361">
        <f>M1032/L1032*100</f>
        <v>99.770491803278688</v>
      </c>
      <c r="O1032" s="179">
        <f t="shared" si="162"/>
        <v>1829550</v>
      </c>
      <c r="P1032" s="179">
        <f t="shared" si="161"/>
        <v>1810001</v>
      </c>
      <c r="Q1032" s="361">
        <f t="shared" si="158"/>
        <v>98.931485884507126</v>
      </c>
    </row>
    <row r="1033" spans="2:17" x14ac:dyDescent="0.2">
      <c r="B1033" s="18">
        <f t="shared" si="160"/>
        <v>538</v>
      </c>
      <c r="C1033" s="3"/>
      <c r="D1033" s="3"/>
      <c r="E1033" s="3"/>
      <c r="F1033" s="90" t="s">
        <v>158</v>
      </c>
      <c r="G1033" s="2">
        <v>610</v>
      </c>
      <c r="H1033" s="3" t="s">
        <v>131</v>
      </c>
      <c r="I1033" s="4">
        <f>828100+48600+84900+10800+156000+100</f>
        <v>1128500</v>
      </c>
      <c r="J1033" s="4">
        <v>1128489</v>
      </c>
      <c r="K1033" s="361">
        <f t="shared" si="159"/>
        <v>99.999025254762969</v>
      </c>
      <c r="L1033" s="4"/>
      <c r="M1033" s="4"/>
      <c r="N1033" s="361"/>
      <c r="O1033" s="92">
        <f t="shared" si="162"/>
        <v>1128500</v>
      </c>
      <c r="P1033" s="92">
        <f t="shared" si="161"/>
        <v>1128489</v>
      </c>
      <c r="Q1033" s="361">
        <f t="shared" si="158"/>
        <v>99.999025254762969</v>
      </c>
    </row>
    <row r="1034" spans="2:17" x14ac:dyDescent="0.2">
      <c r="B1034" s="18">
        <f t="shared" si="160"/>
        <v>539</v>
      </c>
      <c r="C1034" s="3"/>
      <c r="D1034" s="3"/>
      <c r="E1034" s="3"/>
      <c r="F1034" s="90" t="s">
        <v>158</v>
      </c>
      <c r="G1034" s="2">
        <v>620</v>
      </c>
      <c r="H1034" s="3" t="s">
        <v>124</v>
      </c>
      <c r="I1034" s="4">
        <f>63408+9984+5616+34992+13774+2184+137676+21840+7870+1248+29010+4608+9770+1460+46750+7410+35+2000</f>
        <v>399635</v>
      </c>
      <c r="J1034" s="4">
        <v>398496</v>
      </c>
      <c r="K1034" s="361">
        <f t="shared" ref="K1034:K1042" si="163">J1034/I1034*100</f>
        <v>99.714989928309578</v>
      </c>
      <c r="L1034" s="4"/>
      <c r="M1034" s="4"/>
      <c r="N1034" s="361"/>
      <c r="O1034" s="92">
        <f t="shared" si="162"/>
        <v>399635</v>
      </c>
      <c r="P1034" s="92">
        <f t="shared" si="161"/>
        <v>398496</v>
      </c>
      <c r="Q1034" s="361">
        <f t="shared" si="158"/>
        <v>99.714989928309578</v>
      </c>
    </row>
    <row r="1035" spans="2:17" x14ac:dyDescent="0.2">
      <c r="B1035" s="18">
        <f t="shared" si="160"/>
        <v>540</v>
      </c>
      <c r="C1035" s="3"/>
      <c r="D1035" s="3"/>
      <c r="E1035" s="3"/>
      <c r="F1035" s="90" t="s">
        <v>158</v>
      </c>
      <c r="G1035" s="2">
        <v>630</v>
      </c>
      <c r="H1035" s="3" t="s">
        <v>121</v>
      </c>
      <c r="I1035" s="4">
        <f>SUM(I1036:I1041)</f>
        <v>224115</v>
      </c>
      <c r="J1035" s="4">
        <f>SUM(J1036:J1041)</f>
        <v>209883</v>
      </c>
      <c r="K1035" s="361">
        <f t="shared" si="163"/>
        <v>93.649688775851686</v>
      </c>
      <c r="L1035" s="4"/>
      <c r="M1035" s="4"/>
      <c r="N1035" s="361"/>
      <c r="O1035" s="92">
        <f t="shared" si="162"/>
        <v>224115</v>
      </c>
      <c r="P1035" s="92">
        <f t="shared" si="161"/>
        <v>209883</v>
      </c>
      <c r="Q1035" s="361">
        <f t="shared" si="158"/>
        <v>93.649688775851686</v>
      </c>
    </row>
    <row r="1036" spans="2:17" x14ac:dyDescent="0.2">
      <c r="B1036" s="18">
        <f t="shared" si="160"/>
        <v>541</v>
      </c>
      <c r="C1036" s="6"/>
      <c r="D1036" s="6"/>
      <c r="E1036" s="6"/>
      <c r="F1036" s="93"/>
      <c r="G1036" s="5">
        <v>631</v>
      </c>
      <c r="H1036" s="6" t="s">
        <v>127</v>
      </c>
      <c r="I1036" s="7">
        <f>600+100</f>
        <v>700</v>
      </c>
      <c r="J1036" s="7">
        <v>575</v>
      </c>
      <c r="K1036" s="361">
        <f t="shared" si="163"/>
        <v>82.142857142857139</v>
      </c>
      <c r="L1036" s="7"/>
      <c r="M1036" s="7"/>
      <c r="N1036" s="361"/>
      <c r="O1036" s="95">
        <f t="shared" si="162"/>
        <v>700</v>
      </c>
      <c r="P1036" s="95">
        <f t="shared" si="161"/>
        <v>575</v>
      </c>
      <c r="Q1036" s="361">
        <f t="shared" si="158"/>
        <v>82.142857142857139</v>
      </c>
    </row>
    <row r="1037" spans="2:17" x14ac:dyDescent="0.2">
      <c r="B1037" s="18">
        <f t="shared" si="160"/>
        <v>542</v>
      </c>
      <c r="C1037" s="6"/>
      <c r="D1037" s="6"/>
      <c r="E1037" s="6"/>
      <c r="F1037" s="93"/>
      <c r="G1037" s="5">
        <v>632</v>
      </c>
      <c r="H1037" s="6" t="s">
        <v>134</v>
      </c>
      <c r="I1037" s="7">
        <f>9300+73500+700+900+900+400+300+2700-3000-11800-33500</f>
        <v>40400</v>
      </c>
      <c r="J1037" s="7">
        <v>37493</v>
      </c>
      <c r="K1037" s="361">
        <f t="shared" si="163"/>
        <v>92.804455445544548</v>
      </c>
      <c r="L1037" s="7"/>
      <c r="M1037" s="7"/>
      <c r="N1037" s="361"/>
      <c r="O1037" s="95">
        <f t="shared" si="162"/>
        <v>40400</v>
      </c>
      <c r="P1037" s="95">
        <f t="shared" si="161"/>
        <v>37493</v>
      </c>
      <c r="Q1037" s="361">
        <f t="shared" si="158"/>
        <v>92.804455445544548</v>
      </c>
    </row>
    <row r="1038" spans="2:17" x14ac:dyDescent="0.2">
      <c r="B1038" s="18">
        <f t="shared" si="160"/>
        <v>543</v>
      </c>
      <c r="C1038" s="6"/>
      <c r="D1038" s="6"/>
      <c r="E1038" s="6"/>
      <c r="F1038" s="93"/>
      <c r="G1038" s="5">
        <v>633</v>
      </c>
      <c r="H1038" s="6" t="s">
        <v>125</v>
      </c>
      <c r="I1038" s="7">
        <f>3000+6000+1000+800+4600+1500+1200+300+1000+500+100-5000+5000+9800+3650+33900+1680</f>
        <v>69030</v>
      </c>
      <c r="J1038" s="7">
        <v>69016</v>
      </c>
      <c r="K1038" s="361">
        <f t="shared" si="163"/>
        <v>99.979718962769809</v>
      </c>
      <c r="L1038" s="7"/>
      <c r="M1038" s="7"/>
      <c r="N1038" s="361"/>
      <c r="O1038" s="95">
        <f t="shared" si="162"/>
        <v>69030</v>
      </c>
      <c r="P1038" s="95">
        <f t="shared" si="161"/>
        <v>69016</v>
      </c>
      <c r="Q1038" s="361">
        <f t="shared" si="158"/>
        <v>99.979718962769809</v>
      </c>
    </row>
    <row r="1039" spans="2:17" x14ac:dyDescent="0.2">
      <c r="B1039" s="18">
        <f t="shared" si="160"/>
        <v>544</v>
      </c>
      <c r="C1039" s="6"/>
      <c r="D1039" s="6"/>
      <c r="E1039" s="6"/>
      <c r="F1039" s="93"/>
      <c r="G1039" s="5">
        <v>635</v>
      </c>
      <c r="H1039" s="6" t="s">
        <v>133</v>
      </c>
      <c r="I1039" s="7">
        <f>100+10000+10000-3300</f>
        <v>16800</v>
      </c>
      <c r="J1039" s="7">
        <v>16797</v>
      </c>
      <c r="K1039" s="361">
        <f t="shared" si="163"/>
        <v>99.982142857142847</v>
      </c>
      <c r="L1039" s="7"/>
      <c r="M1039" s="7"/>
      <c r="N1039" s="361"/>
      <c r="O1039" s="95">
        <f t="shared" si="162"/>
        <v>16800</v>
      </c>
      <c r="P1039" s="95">
        <f t="shared" si="161"/>
        <v>16797</v>
      </c>
      <c r="Q1039" s="361">
        <f t="shared" si="158"/>
        <v>99.982142857142847</v>
      </c>
    </row>
    <row r="1040" spans="2:17" x14ac:dyDescent="0.2">
      <c r="B1040" s="18">
        <f t="shared" si="160"/>
        <v>545</v>
      </c>
      <c r="C1040" s="6"/>
      <c r="D1040" s="6"/>
      <c r="E1040" s="6"/>
      <c r="F1040" s="93"/>
      <c r="G1040" s="5">
        <v>636</v>
      </c>
      <c r="H1040" s="6" t="s">
        <v>126</v>
      </c>
      <c r="I1040" s="7">
        <f>2500+2000-1700</f>
        <v>2800</v>
      </c>
      <c r="J1040" s="7">
        <v>2690</v>
      </c>
      <c r="K1040" s="361">
        <f t="shared" si="163"/>
        <v>96.071428571428569</v>
      </c>
      <c r="L1040" s="7"/>
      <c r="M1040" s="7"/>
      <c r="N1040" s="361"/>
      <c r="O1040" s="95">
        <f t="shared" si="162"/>
        <v>2800</v>
      </c>
      <c r="P1040" s="95">
        <f t="shared" si="161"/>
        <v>2690</v>
      </c>
      <c r="Q1040" s="361">
        <f t="shared" si="158"/>
        <v>96.071428571428569</v>
      </c>
    </row>
    <row r="1041" spans="2:17" x14ac:dyDescent="0.2">
      <c r="B1041" s="18">
        <f t="shared" si="160"/>
        <v>546</v>
      </c>
      <c r="C1041" s="6"/>
      <c r="D1041" s="6"/>
      <c r="E1041" s="6"/>
      <c r="F1041" s="93"/>
      <c r="G1041" s="5">
        <v>637</v>
      </c>
      <c r="H1041" s="6" t="s">
        <v>122</v>
      </c>
      <c r="I1041" s="7">
        <f>200+200+200+10000+800+200+13000+500+46700+900+11000+2000+2700-3015+3000+4000+2000</f>
        <v>94385</v>
      </c>
      <c r="J1041" s="7">
        <v>83312</v>
      </c>
      <c r="K1041" s="361">
        <f t="shared" si="163"/>
        <v>88.268262965513586</v>
      </c>
      <c r="L1041" s="7"/>
      <c r="M1041" s="7"/>
      <c r="N1041" s="361"/>
      <c r="O1041" s="95">
        <f t="shared" si="162"/>
        <v>94385</v>
      </c>
      <c r="P1041" s="95">
        <f t="shared" si="161"/>
        <v>83312</v>
      </c>
      <c r="Q1041" s="361">
        <f t="shared" si="158"/>
        <v>88.268262965513586</v>
      </c>
    </row>
    <row r="1042" spans="2:17" x14ac:dyDescent="0.2">
      <c r="B1042" s="18">
        <f t="shared" si="160"/>
        <v>547</v>
      </c>
      <c r="C1042" s="3"/>
      <c r="D1042" s="3"/>
      <c r="E1042" s="3"/>
      <c r="F1042" s="90" t="s">
        <v>158</v>
      </c>
      <c r="G1042" s="2">
        <v>640</v>
      </c>
      <c r="H1042" s="3" t="s">
        <v>129</v>
      </c>
      <c r="I1042" s="4">
        <f>200+4500+10400+2700-1500</f>
        <v>16300</v>
      </c>
      <c r="J1042" s="4">
        <v>12273</v>
      </c>
      <c r="K1042" s="361">
        <f t="shared" si="163"/>
        <v>75.294478527607367</v>
      </c>
      <c r="L1042" s="4"/>
      <c r="M1042" s="4"/>
      <c r="N1042" s="361"/>
      <c r="O1042" s="92">
        <f t="shared" si="162"/>
        <v>16300</v>
      </c>
      <c r="P1042" s="92">
        <f t="shared" si="161"/>
        <v>12273</v>
      </c>
      <c r="Q1042" s="361">
        <f t="shared" si="158"/>
        <v>75.294478527607367</v>
      </c>
    </row>
    <row r="1043" spans="2:17" x14ac:dyDescent="0.2">
      <c r="B1043" s="18">
        <f t="shared" si="160"/>
        <v>548</v>
      </c>
      <c r="C1043" s="3"/>
      <c r="D1043" s="3"/>
      <c r="E1043" s="3"/>
      <c r="F1043" s="90" t="s">
        <v>158</v>
      </c>
      <c r="G1043" s="2">
        <v>710</v>
      </c>
      <c r="H1043" s="3" t="s">
        <v>175</v>
      </c>
      <c r="I1043" s="4"/>
      <c r="J1043" s="4"/>
      <c r="K1043" s="361"/>
      <c r="L1043" s="4">
        <f>L1044+L1047</f>
        <v>61000</v>
      </c>
      <c r="M1043" s="4">
        <f>M1044+M1047</f>
        <v>60860</v>
      </c>
      <c r="N1043" s="361">
        <f t="shared" ref="N1043:N1048" si="164">M1043/L1043*100</f>
        <v>99.770491803278688</v>
      </c>
      <c r="O1043" s="95">
        <f t="shared" si="162"/>
        <v>61000</v>
      </c>
      <c r="P1043" s="95">
        <f t="shared" si="161"/>
        <v>60860</v>
      </c>
      <c r="Q1043" s="361">
        <f t="shared" si="158"/>
        <v>99.770491803278688</v>
      </c>
    </row>
    <row r="1044" spans="2:17" x14ac:dyDescent="0.2">
      <c r="B1044" s="18">
        <f t="shared" si="160"/>
        <v>549</v>
      </c>
      <c r="C1044" s="3"/>
      <c r="D1044" s="3"/>
      <c r="E1044" s="3"/>
      <c r="F1044" s="90"/>
      <c r="G1044" s="5">
        <v>713</v>
      </c>
      <c r="H1044" s="6" t="s">
        <v>218</v>
      </c>
      <c r="I1044" s="4"/>
      <c r="J1044" s="4"/>
      <c r="K1044" s="361"/>
      <c r="L1044" s="7">
        <f>L1045</f>
        <v>60000</v>
      </c>
      <c r="M1044" s="7">
        <f>M1045</f>
        <v>59900</v>
      </c>
      <c r="N1044" s="361">
        <f t="shared" si="164"/>
        <v>99.833333333333329</v>
      </c>
      <c r="O1044" s="95">
        <f t="shared" si="162"/>
        <v>60000</v>
      </c>
      <c r="P1044" s="95">
        <f t="shared" si="161"/>
        <v>59900</v>
      </c>
      <c r="Q1044" s="361">
        <f t="shared" si="158"/>
        <v>99.833333333333329</v>
      </c>
    </row>
    <row r="1045" spans="2:17" x14ac:dyDescent="0.2">
      <c r="B1045" s="18">
        <f t="shared" si="160"/>
        <v>550</v>
      </c>
      <c r="C1045" s="3"/>
      <c r="D1045" s="3"/>
      <c r="E1045" s="3"/>
      <c r="F1045" s="90"/>
      <c r="G1045" s="106"/>
      <c r="H1045" s="9" t="s">
        <v>504</v>
      </c>
      <c r="I1045" s="4"/>
      <c r="J1045" s="4"/>
      <c r="K1045" s="361"/>
      <c r="L1045" s="10">
        <v>60000</v>
      </c>
      <c r="M1045" s="10">
        <v>59900</v>
      </c>
      <c r="N1045" s="361">
        <f t="shared" si="164"/>
        <v>99.833333333333329</v>
      </c>
      <c r="O1045" s="108">
        <f t="shared" si="162"/>
        <v>60000</v>
      </c>
      <c r="P1045" s="108">
        <f t="shared" si="161"/>
        <v>59900</v>
      </c>
      <c r="Q1045" s="361">
        <f t="shared" si="158"/>
        <v>99.833333333333329</v>
      </c>
    </row>
    <row r="1046" spans="2:17" x14ac:dyDescent="0.2">
      <c r="B1046" s="18">
        <f t="shared" si="160"/>
        <v>551</v>
      </c>
      <c r="C1046" s="3"/>
      <c r="D1046" s="3"/>
      <c r="E1046" s="3"/>
      <c r="F1046" s="90"/>
      <c r="G1046" s="5">
        <v>716</v>
      </c>
      <c r="H1046" s="6" t="s">
        <v>215</v>
      </c>
      <c r="I1046" s="7"/>
      <c r="J1046" s="7"/>
      <c r="K1046" s="361"/>
      <c r="L1046" s="7">
        <f>L1047</f>
        <v>1000</v>
      </c>
      <c r="M1046" s="7">
        <f>M1047</f>
        <v>960</v>
      </c>
      <c r="N1046" s="361">
        <f t="shared" si="164"/>
        <v>96</v>
      </c>
      <c r="O1046" s="95">
        <f t="shared" si="162"/>
        <v>1000</v>
      </c>
      <c r="P1046" s="95">
        <f t="shared" si="161"/>
        <v>960</v>
      </c>
      <c r="Q1046" s="361">
        <f t="shared" si="158"/>
        <v>96</v>
      </c>
    </row>
    <row r="1047" spans="2:17" x14ac:dyDescent="0.2">
      <c r="B1047" s="18">
        <f t="shared" si="160"/>
        <v>552</v>
      </c>
      <c r="C1047" s="3"/>
      <c r="D1047" s="3"/>
      <c r="E1047" s="3"/>
      <c r="F1047" s="90"/>
      <c r="G1047" s="106"/>
      <c r="H1047" s="9" t="s">
        <v>650</v>
      </c>
      <c r="I1047" s="10"/>
      <c r="J1047" s="10"/>
      <c r="K1047" s="361"/>
      <c r="L1047" s="10">
        <v>1000</v>
      </c>
      <c r="M1047" s="10">
        <v>960</v>
      </c>
      <c r="N1047" s="361">
        <f t="shared" si="164"/>
        <v>96</v>
      </c>
      <c r="O1047" s="108">
        <f>L1047</f>
        <v>1000</v>
      </c>
      <c r="P1047" s="108">
        <f>M1047</f>
        <v>960</v>
      </c>
      <c r="Q1047" s="361">
        <f t="shared" si="158"/>
        <v>96</v>
      </c>
    </row>
    <row r="1048" spans="2:17" ht="15" x14ac:dyDescent="0.2">
      <c r="B1048" s="18">
        <f t="shared" si="160"/>
        <v>553</v>
      </c>
      <c r="C1048" s="82">
        <v>4</v>
      </c>
      <c r="D1048" s="495" t="s">
        <v>161</v>
      </c>
      <c r="E1048" s="496"/>
      <c r="F1048" s="496"/>
      <c r="G1048" s="496"/>
      <c r="H1048" s="496"/>
      <c r="I1048" s="83">
        <f>I1051+I1058+I1184+I1205+I1224+I1245+I1269+I1290+I1311+I1049</f>
        <v>5353072</v>
      </c>
      <c r="J1048" s="83">
        <f>J1051+J1058+J1184+J1205+J1224+J1245+J1269+J1290+J1311+J1049</f>
        <v>4896071</v>
      </c>
      <c r="K1048" s="361">
        <f t="shared" ref="K1048:K1066" si="165">J1048/I1048*100</f>
        <v>91.462827326066233</v>
      </c>
      <c r="L1048" s="83">
        <f>L1058+L1184+L1205+L1224+L1245+L1269+L1290+L1311</f>
        <v>170323</v>
      </c>
      <c r="M1048" s="83">
        <f>M1058+M1184+M1205+M1224+M1245+M1269+M1290+M1311</f>
        <v>166856</v>
      </c>
      <c r="N1048" s="361">
        <f t="shared" si="164"/>
        <v>97.964455769332375</v>
      </c>
      <c r="O1048" s="99">
        <f t="shared" ref="O1048:O1111" si="166">I1048+L1048</f>
        <v>5523395</v>
      </c>
      <c r="P1048" s="99">
        <f t="shared" ref="P1048:P1111" si="167">J1048+M1048</f>
        <v>5062927</v>
      </c>
      <c r="Q1048" s="361">
        <f t="shared" si="158"/>
        <v>91.663315768653149</v>
      </c>
    </row>
    <row r="1049" spans="2:17" x14ac:dyDescent="0.2">
      <c r="B1049" s="18">
        <f t="shared" si="160"/>
        <v>554</v>
      </c>
      <c r="C1049" s="3"/>
      <c r="D1049" s="3"/>
      <c r="E1049" s="3"/>
      <c r="F1049" s="90" t="s">
        <v>160</v>
      </c>
      <c r="G1049" s="2">
        <v>630</v>
      </c>
      <c r="H1049" s="3" t="s">
        <v>121</v>
      </c>
      <c r="I1049" s="4">
        <f>I1050</f>
        <v>167519</v>
      </c>
      <c r="J1049" s="4">
        <f>J1050</f>
        <v>173528</v>
      </c>
      <c r="K1049" s="361">
        <f t="shared" si="165"/>
        <v>103.5870557966559</v>
      </c>
      <c r="L1049" s="4"/>
      <c r="M1049" s="4"/>
      <c r="N1049" s="361"/>
      <c r="O1049" s="92">
        <f t="shared" si="166"/>
        <v>167519</v>
      </c>
      <c r="P1049" s="92">
        <f t="shared" si="167"/>
        <v>173528</v>
      </c>
      <c r="Q1049" s="361">
        <f t="shared" si="158"/>
        <v>103.5870557966559</v>
      </c>
    </row>
    <row r="1050" spans="2:17" s="122" customFormat="1" x14ac:dyDescent="0.2">
      <c r="B1050" s="18">
        <f t="shared" si="160"/>
        <v>555</v>
      </c>
      <c r="C1050" s="67"/>
      <c r="D1050" s="67"/>
      <c r="E1050" s="67"/>
      <c r="F1050" s="106"/>
      <c r="G1050" s="106">
        <v>637</v>
      </c>
      <c r="H1050" s="9" t="s">
        <v>625</v>
      </c>
      <c r="I1050" s="10">
        <v>167519</v>
      </c>
      <c r="J1050" s="10">
        <v>173528</v>
      </c>
      <c r="K1050" s="361">
        <f t="shared" si="165"/>
        <v>103.5870557966559</v>
      </c>
      <c r="L1050" s="10"/>
      <c r="M1050" s="10"/>
      <c r="N1050" s="361"/>
      <c r="O1050" s="108">
        <f t="shared" si="166"/>
        <v>167519</v>
      </c>
      <c r="P1050" s="108">
        <f t="shared" si="167"/>
        <v>173528</v>
      </c>
      <c r="Q1050" s="361">
        <f t="shared" ref="Q1050:Q1113" si="168">P1050/O1050*100</f>
        <v>103.5870557966559</v>
      </c>
    </row>
    <row r="1051" spans="2:17" x14ac:dyDescent="0.2">
      <c r="B1051" s="18">
        <f t="shared" si="160"/>
        <v>556</v>
      </c>
      <c r="C1051" s="3"/>
      <c r="D1051" s="3"/>
      <c r="E1051" s="3"/>
      <c r="F1051" s="90" t="s">
        <v>160</v>
      </c>
      <c r="G1051" s="2">
        <v>640</v>
      </c>
      <c r="H1051" s="3" t="s">
        <v>129</v>
      </c>
      <c r="I1051" s="4">
        <f>SUM(I1052:I1057)</f>
        <v>263381</v>
      </c>
      <c r="J1051" s="4">
        <f>SUM(J1052:J1057)</f>
        <v>263381</v>
      </c>
      <c r="K1051" s="361">
        <f t="shared" si="165"/>
        <v>100</v>
      </c>
      <c r="L1051" s="4"/>
      <c r="M1051" s="4"/>
      <c r="N1051" s="361"/>
      <c r="O1051" s="92">
        <f t="shared" si="166"/>
        <v>263381</v>
      </c>
      <c r="P1051" s="92">
        <f t="shared" si="167"/>
        <v>263381</v>
      </c>
      <c r="Q1051" s="361">
        <f t="shared" si="168"/>
        <v>100</v>
      </c>
    </row>
    <row r="1052" spans="2:17" s="122" customFormat="1" x14ac:dyDescent="0.2">
      <c r="B1052" s="18">
        <f t="shared" si="160"/>
        <v>557</v>
      </c>
      <c r="C1052" s="67"/>
      <c r="D1052" s="67"/>
      <c r="E1052" s="67"/>
      <c r="F1052" s="106"/>
      <c r="G1052" s="106"/>
      <c r="H1052" s="9" t="s">
        <v>368</v>
      </c>
      <c r="I1052" s="10">
        <f>28116-746-463</f>
        <v>26907</v>
      </c>
      <c r="J1052" s="10">
        <v>26907</v>
      </c>
      <c r="K1052" s="361">
        <f t="shared" si="165"/>
        <v>100</v>
      </c>
      <c r="L1052" s="10"/>
      <c r="M1052" s="10"/>
      <c r="N1052" s="361"/>
      <c r="O1052" s="108">
        <f t="shared" si="166"/>
        <v>26907</v>
      </c>
      <c r="P1052" s="108">
        <f t="shared" si="167"/>
        <v>26907</v>
      </c>
      <c r="Q1052" s="361">
        <f t="shared" si="168"/>
        <v>100</v>
      </c>
    </row>
    <row r="1053" spans="2:17" x14ac:dyDescent="0.2">
      <c r="B1053" s="18">
        <f t="shared" si="160"/>
        <v>558</v>
      </c>
      <c r="C1053" s="67"/>
      <c r="D1053" s="67"/>
      <c r="E1053" s="67"/>
      <c r="F1053" s="106"/>
      <c r="G1053" s="106"/>
      <c r="H1053" s="9" t="s">
        <v>369</v>
      </c>
      <c r="I1053" s="10">
        <f>33858-899-557</f>
        <v>32402</v>
      </c>
      <c r="J1053" s="10">
        <v>32402</v>
      </c>
      <c r="K1053" s="361">
        <f t="shared" si="165"/>
        <v>100</v>
      </c>
      <c r="L1053" s="10"/>
      <c r="M1053" s="10"/>
      <c r="N1053" s="361"/>
      <c r="O1053" s="108">
        <f t="shared" si="166"/>
        <v>32402</v>
      </c>
      <c r="P1053" s="108">
        <f t="shared" si="167"/>
        <v>32402</v>
      </c>
      <c r="Q1053" s="361">
        <f t="shared" si="168"/>
        <v>100</v>
      </c>
    </row>
    <row r="1054" spans="2:17" s="122" customFormat="1" x14ac:dyDescent="0.2">
      <c r="B1054" s="18">
        <f t="shared" si="160"/>
        <v>559</v>
      </c>
      <c r="C1054" s="67"/>
      <c r="D1054" s="67"/>
      <c r="E1054" s="67"/>
      <c r="F1054" s="106"/>
      <c r="G1054" s="106"/>
      <c r="H1054" s="9" t="s">
        <v>370</v>
      </c>
      <c r="I1054" s="10">
        <f>30690-815-505</f>
        <v>29370</v>
      </c>
      <c r="J1054" s="10">
        <v>29370</v>
      </c>
      <c r="K1054" s="361">
        <f t="shared" si="165"/>
        <v>100</v>
      </c>
      <c r="L1054" s="10"/>
      <c r="M1054" s="10"/>
      <c r="N1054" s="361"/>
      <c r="O1054" s="108">
        <f t="shared" si="166"/>
        <v>29370</v>
      </c>
      <c r="P1054" s="108">
        <f t="shared" si="167"/>
        <v>29370</v>
      </c>
      <c r="Q1054" s="361">
        <f t="shared" si="168"/>
        <v>100</v>
      </c>
    </row>
    <row r="1055" spans="2:17" s="122" customFormat="1" x14ac:dyDescent="0.2">
      <c r="B1055" s="18">
        <f t="shared" si="160"/>
        <v>560</v>
      </c>
      <c r="C1055" s="67"/>
      <c r="D1055" s="67"/>
      <c r="E1055" s="67"/>
      <c r="F1055" s="106"/>
      <c r="G1055" s="106"/>
      <c r="H1055" s="9" t="s">
        <v>371</v>
      </c>
      <c r="I1055" s="10">
        <f>9900-263-163</f>
        <v>9474</v>
      </c>
      <c r="J1055" s="10">
        <v>9474</v>
      </c>
      <c r="K1055" s="361">
        <f t="shared" si="165"/>
        <v>100</v>
      </c>
      <c r="L1055" s="10"/>
      <c r="M1055" s="10"/>
      <c r="N1055" s="361"/>
      <c r="O1055" s="108">
        <f t="shared" si="166"/>
        <v>9474</v>
      </c>
      <c r="P1055" s="108">
        <f t="shared" si="167"/>
        <v>9474</v>
      </c>
      <c r="Q1055" s="361">
        <f t="shared" si="168"/>
        <v>100</v>
      </c>
    </row>
    <row r="1056" spans="2:17" s="122" customFormat="1" x14ac:dyDescent="0.2">
      <c r="B1056" s="18">
        <f t="shared" si="160"/>
        <v>561</v>
      </c>
      <c r="C1056" s="67"/>
      <c r="D1056" s="67"/>
      <c r="E1056" s="67"/>
      <c r="F1056" s="106"/>
      <c r="G1056" s="106"/>
      <c r="H1056" s="9" t="s">
        <v>275</v>
      </c>
      <c r="I1056" s="10">
        <f>166518-4420-2744</f>
        <v>159354</v>
      </c>
      <c r="J1056" s="10">
        <v>159354</v>
      </c>
      <c r="K1056" s="361">
        <f t="shared" si="165"/>
        <v>100</v>
      </c>
      <c r="L1056" s="10"/>
      <c r="M1056" s="10"/>
      <c r="N1056" s="361"/>
      <c r="O1056" s="108">
        <f t="shared" si="166"/>
        <v>159354</v>
      </c>
      <c r="P1056" s="108">
        <f t="shared" si="167"/>
        <v>159354</v>
      </c>
      <c r="Q1056" s="361">
        <f t="shared" si="168"/>
        <v>100</v>
      </c>
    </row>
    <row r="1057" spans="2:17" s="122" customFormat="1" x14ac:dyDescent="0.2">
      <c r="B1057" s="18">
        <f t="shared" si="160"/>
        <v>562</v>
      </c>
      <c r="C1057" s="67"/>
      <c r="D1057" s="67"/>
      <c r="E1057" s="67"/>
      <c r="F1057" s="106"/>
      <c r="G1057" s="106"/>
      <c r="H1057" s="9" t="s">
        <v>292</v>
      </c>
      <c r="I1057" s="10">
        <f>6138-163-101</f>
        <v>5874</v>
      </c>
      <c r="J1057" s="10">
        <v>5874</v>
      </c>
      <c r="K1057" s="361">
        <f t="shared" si="165"/>
        <v>100</v>
      </c>
      <c r="L1057" s="10"/>
      <c r="M1057" s="10"/>
      <c r="N1057" s="361"/>
      <c r="O1057" s="108">
        <f t="shared" si="166"/>
        <v>5874</v>
      </c>
      <c r="P1057" s="108">
        <f t="shared" si="167"/>
        <v>5874</v>
      </c>
      <c r="Q1057" s="361">
        <f t="shared" si="168"/>
        <v>100</v>
      </c>
    </row>
    <row r="1058" spans="2:17" s="122" customFormat="1" ht="15" x14ac:dyDescent="0.25">
      <c r="B1058" s="18">
        <f t="shared" si="160"/>
        <v>563</v>
      </c>
      <c r="C1058" s="176"/>
      <c r="D1058" s="176"/>
      <c r="E1058" s="176">
        <v>4</v>
      </c>
      <c r="F1058" s="177"/>
      <c r="G1058" s="177"/>
      <c r="H1058" s="176" t="s">
        <v>83</v>
      </c>
      <c r="I1058" s="178">
        <f>I1175+I1167+I1159+I1151+I1143+I1135+I1127+I1119+I1108+I1100+I1089+I1078+I1070+I1059</f>
        <v>1618858</v>
      </c>
      <c r="J1058" s="178">
        <f>J1175+J1167+J1159+J1151+J1143+J1135+J1127+J1119+J1108+J1100+J1089+J1078+J1070+J1059</f>
        <v>1344889</v>
      </c>
      <c r="K1058" s="361">
        <f t="shared" si="165"/>
        <v>83.076403242285608</v>
      </c>
      <c r="L1058" s="178">
        <f>L1059+L1070+L1078+L1089+L1100+L1108+L1119+L1127+L1135+L1143+L1151+L1159+L1167+L1175</f>
        <v>40000</v>
      </c>
      <c r="M1058" s="178">
        <f>M1059+M1070+M1078+M1089+M1100+M1108+M1119+M1127+M1135+M1143+M1151+M1159+M1167+M1175</f>
        <v>39657</v>
      </c>
      <c r="N1058" s="361">
        <f>M1058/L1058*100</f>
        <v>99.142499999999998</v>
      </c>
      <c r="O1058" s="179">
        <f t="shared" si="166"/>
        <v>1658858</v>
      </c>
      <c r="P1058" s="179">
        <f t="shared" si="167"/>
        <v>1384546</v>
      </c>
      <c r="Q1058" s="361">
        <f t="shared" si="168"/>
        <v>83.463804617393407</v>
      </c>
    </row>
    <row r="1059" spans="2:17" x14ac:dyDescent="0.2">
      <c r="B1059" s="18">
        <f t="shared" si="160"/>
        <v>564</v>
      </c>
      <c r="C1059" s="190"/>
      <c r="D1059" s="190"/>
      <c r="E1059" s="190" t="s">
        <v>91</v>
      </c>
      <c r="F1059" s="191"/>
      <c r="G1059" s="191"/>
      <c r="H1059" s="190" t="s">
        <v>65</v>
      </c>
      <c r="I1059" s="192">
        <f>I1066+I1062+I1061+I1060</f>
        <v>86362</v>
      </c>
      <c r="J1059" s="192">
        <f>J1066+J1062+J1061+J1060</f>
        <v>70209</v>
      </c>
      <c r="K1059" s="361">
        <f t="shared" si="165"/>
        <v>81.296171927468095</v>
      </c>
      <c r="L1059" s="192">
        <f>L1067</f>
        <v>10000</v>
      </c>
      <c r="M1059" s="192">
        <f>M1067</f>
        <v>9955</v>
      </c>
      <c r="N1059" s="361">
        <f>M1059/L1059*100</f>
        <v>99.550000000000011</v>
      </c>
      <c r="O1059" s="193">
        <f t="shared" si="166"/>
        <v>96362</v>
      </c>
      <c r="P1059" s="193">
        <f t="shared" si="167"/>
        <v>80164</v>
      </c>
      <c r="Q1059" s="361">
        <f t="shared" si="168"/>
        <v>83.190469272119714</v>
      </c>
    </row>
    <row r="1060" spans="2:17" x14ac:dyDescent="0.2">
      <c r="B1060" s="18">
        <f t="shared" si="160"/>
        <v>565</v>
      </c>
      <c r="C1060" s="3"/>
      <c r="D1060" s="3"/>
      <c r="E1060" s="3"/>
      <c r="F1060" s="90" t="s">
        <v>160</v>
      </c>
      <c r="G1060" s="2">
        <v>610</v>
      </c>
      <c r="H1060" s="3" t="s">
        <v>131</v>
      </c>
      <c r="I1060" s="4">
        <f>726+360+4155+23841</f>
        <v>29082</v>
      </c>
      <c r="J1060" s="4">
        <v>28456</v>
      </c>
      <c r="K1060" s="361">
        <f t="shared" si="165"/>
        <v>97.84746578639708</v>
      </c>
      <c r="L1060" s="4"/>
      <c r="M1060" s="4"/>
      <c r="N1060" s="361"/>
      <c r="O1060" s="92">
        <f t="shared" si="166"/>
        <v>29082</v>
      </c>
      <c r="P1060" s="92">
        <f t="shared" si="167"/>
        <v>28456</v>
      </c>
      <c r="Q1060" s="361">
        <f t="shared" si="168"/>
        <v>97.84746578639708</v>
      </c>
    </row>
    <row r="1061" spans="2:17" x14ac:dyDescent="0.2">
      <c r="B1061" s="18">
        <f t="shared" si="160"/>
        <v>566</v>
      </c>
      <c r="C1061" s="3"/>
      <c r="D1061" s="3"/>
      <c r="E1061" s="3"/>
      <c r="F1061" s="90" t="s">
        <v>160</v>
      </c>
      <c r="G1061" s="2">
        <v>620</v>
      </c>
      <c r="H1061" s="3" t="s">
        <v>124</v>
      </c>
      <c r="I1061" s="4">
        <f>1472+310+930+582+248+4338+434+3098</f>
        <v>11412</v>
      </c>
      <c r="J1061" s="4">
        <v>10556</v>
      </c>
      <c r="K1061" s="361">
        <f t="shared" si="165"/>
        <v>92.499123729407643</v>
      </c>
      <c r="L1061" s="4"/>
      <c r="M1061" s="4"/>
      <c r="N1061" s="361"/>
      <c r="O1061" s="92">
        <f t="shared" si="166"/>
        <v>11412</v>
      </c>
      <c r="P1061" s="92">
        <f t="shared" si="167"/>
        <v>10556</v>
      </c>
      <c r="Q1061" s="361">
        <f t="shared" si="168"/>
        <v>92.499123729407643</v>
      </c>
    </row>
    <row r="1062" spans="2:17" x14ac:dyDescent="0.2">
      <c r="B1062" s="18">
        <f t="shared" si="160"/>
        <v>567</v>
      </c>
      <c r="C1062" s="3"/>
      <c r="D1062" s="3"/>
      <c r="E1062" s="3"/>
      <c r="F1062" s="90" t="s">
        <v>160</v>
      </c>
      <c r="G1062" s="2">
        <v>630</v>
      </c>
      <c r="H1062" s="3" t="s">
        <v>121</v>
      </c>
      <c r="I1062" s="4">
        <f>I1065+I1064+I1063</f>
        <v>45840</v>
      </c>
      <c r="J1062" s="4">
        <f>J1065+J1064+J1063</f>
        <v>31169</v>
      </c>
      <c r="K1062" s="361">
        <f t="shared" si="165"/>
        <v>67.995200698080282</v>
      </c>
      <c r="L1062" s="4"/>
      <c r="M1062" s="4"/>
      <c r="N1062" s="361"/>
      <c r="O1062" s="92">
        <f t="shared" si="166"/>
        <v>45840</v>
      </c>
      <c r="P1062" s="92">
        <f t="shared" si="167"/>
        <v>31169</v>
      </c>
      <c r="Q1062" s="361">
        <f t="shared" si="168"/>
        <v>67.995200698080282</v>
      </c>
    </row>
    <row r="1063" spans="2:17" x14ac:dyDescent="0.2">
      <c r="B1063" s="18">
        <f t="shared" si="160"/>
        <v>568</v>
      </c>
      <c r="C1063" s="6"/>
      <c r="D1063" s="6"/>
      <c r="E1063" s="6"/>
      <c r="F1063" s="93"/>
      <c r="G1063" s="5">
        <v>633</v>
      </c>
      <c r="H1063" s="6" t="s">
        <v>125</v>
      </c>
      <c r="I1063" s="7">
        <f>150+500+2000+29282+2000+280+6174-41+2000</f>
        <v>42345</v>
      </c>
      <c r="J1063" s="7">
        <v>29428</v>
      </c>
      <c r="K1063" s="361">
        <f t="shared" si="165"/>
        <v>69.495808241823127</v>
      </c>
      <c r="L1063" s="7"/>
      <c r="M1063" s="7"/>
      <c r="N1063" s="361"/>
      <c r="O1063" s="95">
        <f t="shared" si="166"/>
        <v>42345</v>
      </c>
      <c r="P1063" s="95">
        <f t="shared" si="167"/>
        <v>29428</v>
      </c>
      <c r="Q1063" s="361">
        <f t="shared" si="168"/>
        <v>69.495808241823127</v>
      </c>
    </row>
    <row r="1064" spans="2:17" x14ac:dyDescent="0.2">
      <c r="B1064" s="18">
        <f t="shared" si="160"/>
        <v>569</v>
      </c>
      <c r="C1064" s="6"/>
      <c r="D1064" s="6"/>
      <c r="E1064" s="6"/>
      <c r="F1064" s="93"/>
      <c r="G1064" s="5">
        <v>635</v>
      </c>
      <c r="H1064" s="6" t="s">
        <v>133</v>
      </c>
      <c r="I1064" s="7">
        <f>100+3400-2000</f>
        <v>1500</v>
      </c>
      <c r="J1064" s="7">
        <v>405</v>
      </c>
      <c r="K1064" s="361">
        <f t="shared" si="165"/>
        <v>27</v>
      </c>
      <c r="L1064" s="7"/>
      <c r="M1064" s="7"/>
      <c r="N1064" s="361"/>
      <c r="O1064" s="95">
        <f t="shared" si="166"/>
        <v>1500</v>
      </c>
      <c r="P1064" s="95">
        <f t="shared" si="167"/>
        <v>405</v>
      </c>
      <c r="Q1064" s="361">
        <f t="shared" si="168"/>
        <v>27</v>
      </c>
    </row>
    <row r="1065" spans="2:17" x14ac:dyDescent="0.2">
      <c r="B1065" s="18">
        <f t="shared" si="160"/>
        <v>570</v>
      </c>
      <c r="C1065" s="6"/>
      <c r="D1065" s="6"/>
      <c r="E1065" s="6"/>
      <c r="F1065" s="93"/>
      <c r="G1065" s="5">
        <v>637</v>
      </c>
      <c r="H1065" s="6" t="s">
        <v>122</v>
      </c>
      <c r="I1065" s="7">
        <f>100+436+1459</f>
        <v>1995</v>
      </c>
      <c r="J1065" s="7">
        <v>1336</v>
      </c>
      <c r="K1065" s="361">
        <f t="shared" si="165"/>
        <v>66.96741854636592</v>
      </c>
      <c r="L1065" s="7"/>
      <c r="M1065" s="7"/>
      <c r="N1065" s="361"/>
      <c r="O1065" s="95">
        <f t="shared" si="166"/>
        <v>1995</v>
      </c>
      <c r="P1065" s="95">
        <f t="shared" si="167"/>
        <v>1336</v>
      </c>
      <c r="Q1065" s="361">
        <f t="shared" si="168"/>
        <v>66.96741854636592</v>
      </c>
    </row>
    <row r="1066" spans="2:17" x14ac:dyDescent="0.2">
      <c r="B1066" s="18">
        <f t="shared" si="160"/>
        <v>571</v>
      </c>
      <c r="C1066" s="3"/>
      <c r="D1066" s="3"/>
      <c r="E1066" s="3"/>
      <c r="F1066" s="90" t="s">
        <v>160</v>
      </c>
      <c r="G1066" s="2">
        <v>640</v>
      </c>
      <c r="H1066" s="3" t="s">
        <v>129</v>
      </c>
      <c r="I1066" s="4">
        <f>1802+450-1959-265</f>
        <v>28</v>
      </c>
      <c r="J1066" s="4">
        <v>28</v>
      </c>
      <c r="K1066" s="361">
        <f t="shared" si="165"/>
        <v>100</v>
      </c>
      <c r="L1066" s="4"/>
      <c r="M1066" s="4"/>
      <c r="N1066" s="361"/>
      <c r="O1066" s="92">
        <f t="shared" si="166"/>
        <v>28</v>
      </c>
      <c r="P1066" s="92">
        <f t="shared" si="167"/>
        <v>28</v>
      </c>
      <c r="Q1066" s="361">
        <f t="shared" si="168"/>
        <v>100</v>
      </c>
    </row>
    <row r="1067" spans="2:17" x14ac:dyDescent="0.2">
      <c r="B1067" s="18">
        <f t="shared" si="160"/>
        <v>572</v>
      </c>
      <c r="C1067" s="3"/>
      <c r="D1067" s="3"/>
      <c r="E1067" s="3"/>
      <c r="F1067" s="90" t="s">
        <v>160</v>
      </c>
      <c r="G1067" s="2">
        <v>710</v>
      </c>
      <c r="H1067" s="3" t="s">
        <v>175</v>
      </c>
      <c r="I1067" s="4"/>
      <c r="J1067" s="4"/>
      <c r="K1067" s="361"/>
      <c r="L1067" s="4">
        <f>L1068</f>
        <v>10000</v>
      </c>
      <c r="M1067" s="4">
        <f>M1068</f>
        <v>9955</v>
      </c>
      <c r="N1067" s="361">
        <f>M1067/L1067*100</f>
        <v>99.550000000000011</v>
      </c>
      <c r="O1067" s="92">
        <f t="shared" si="166"/>
        <v>10000</v>
      </c>
      <c r="P1067" s="92">
        <f t="shared" si="167"/>
        <v>9955</v>
      </c>
      <c r="Q1067" s="361">
        <f t="shared" si="168"/>
        <v>99.550000000000011</v>
      </c>
    </row>
    <row r="1068" spans="2:17" x14ac:dyDescent="0.2">
      <c r="B1068" s="18">
        <f t="shared" si="160"/>
        <v>573</v>
      </c>
      <c r="C1068" s="3"/>
      <c r="D1068" s="3"/>
      <c r="E1068" s="3"/>
      <c r="F1068" s="90"/>
      <c r="G1068" s="5">
        <v>717</v>
      </c>
      <c r="H1068" s="6" t="s">
        <v>182</v>
      </c>
      <c r="I1068" s="4"/>
      <c r="J1068" s="4"/>
      <c r="K1068" s="361"/>
      <c r="L1068" s="7">
        <f>L1069</f>
        <v>10000</v>
      </c>
      <c r="M1068" s="7">
        <f>M1069</f>
        <v>9955</v>
      </c>
      <c r="N1068" s="361">
        <f>M1068/L1068*100</f>
        <v>99.550000000000011</v>
      </c>
      <c r="O1068" s="95">
        <f t="shared" si="166"/>
        <v>10000</v>
      </c>
      <c r="P1068" s="95">
        <f t="shared" si="167"/>
        <v>9955</v>
      </c>
      <c r="Q1068" s="361">
        <f t="shared" si="168"/>
        <v>99.550000000000011</v>
      </c>
    </row>
    <row r="1069" spans="2:17" x14ac:dyDescent="0.2">
      <c r="B1069" s="18">
        <f t="shared" si="160"/>
        <v>574</v>
      </c>
      <c r="C1069" s="3"/>
      <c r="D1069" s="3"/>
      <c r="E1069" s="3"/>
      <c r="F1069" s="90"/>
      <c r="G1069" s="106"/>
      <c r="H1069" s="9" t="s">
        <v>635</v>
      </c>
      <c r="I1069" s="4"/>
      <c r="J1069" s="4"/>
      <c r="K1069" s="361"/>
      <c r="L1069" s="10">
        <v>10000</v>
      </c>
      <c r="M1069" s="401">
        <v>9955</v>
      </c>
      <c r="N1069" s="361">
        <f>M1069/L1069*100</f>
        <v>99.550000000000011</v>
      </c>
      <c r="O1069" s="108">
        <f t="shared" si="166"/>
        <v>10000</v>
      </c>
      <c r="P1069" s="108">
        <f t="shared" si="167"/>
        <v>9955</v>
      </c>
      <c r="Q1069" s="361">
        <f t="shared" si="168"/>
        <v>99.550000000000011</v>
      </c>
    </row>
    <row r="1070" spans="2:17" x14ac:dyDescent="0.2">
      <c r="B1070" s="18">
        <f t="shared" si="160"/>
        <v>575</v>
      </c>
      <c r="C1070" s="190"/>
      <c r="D1070" s="190"/>
      <c r="E1070" s="190" t="s">
        <v>90</v>
      </c>
      <c r="F1070" s="191"/>
      <c r="G1070" s="191"/>
      <c r="H1070" s="190" t="s">
        <v>226</v>
      </c>
      <c r="I1070" s="192">
        <f>I1077+I1073+I1072+I1071</f>
        <v>141812</v>
      </c>
      <c r="J1070" s="192">
        <f>J1077+J1073+J1072+J1071</f>
        <v>121338</v>
      </c>
      <c r="K1070" s="361">
        <f t="shared" ref="K1070:K1085" si="169">J1070/I1070*100</f>
        <v>85.562575804586345</v>
      </c>
      <c r="L1070" s="192"/>
      <c r="M1070" s="192"/>
      <c r="N1070" s="361"/>
      <c r="O1070" s="193">
        <f t="shared" si="166"/>
        <v>141812</v>
      </c>
      <c r="P1070" s="193">
        <f t="shared" si="167"/>
        <v>121338</v>
      </c>
      <c r="Q1070" s="361">
        <f t="shared" si="168"/>
        <v>85.562575804586345</v>
      </c>
    </row>
    <row r="1071" spans="2:17" x14ac:dyDescent="0.2">
      <c r="B1071" s="18">
        <f t="shared" si="160"/>
        <v>576</v>
      </c>
      <c r="C1071" s="3"/>
      <c r="D1071" s="3"/>
      <c r="E1071" s="3"/>
      <c r="F1071" s="90" t="s">
        <v>160</v>
      </c>
      <c r="G1071" s="2">
        <v>610</v>
      </c>
      <c r="H1071" s="3" t="s">
        <v>131</v>
      </c>
      <c r="I1071" s="4">
        <f>810+600+6314+36471</f>
        <v>44195</v>
      </c>
      <c r="J1071" s="4">
        <v>44185</v>
      </c>
      <c r="K1071" s="361">
        <f t="shared" si="169"/>
        <v>99.977373005996157</v>
      </c>
      <c r="L1071" s="4"/>
      <c r="M1071" s="4"/>
      <c r="N1071" s="361"/>
      <c r="O1071" s="92">
        <f t="shared" si="166"/>
        <v>44195</v>
      </c>
      <c r="P1071" s="92">
        <f t="shared" si="167"/>
        <v>44185</v>
      </c>
      <c r="Q1071" s="361">
        <f t="shared" si="168"/>
        <v>99.977373005996157</v>
      </c>
    </row>
    <row r="1072" spans="2:17" x14ac:dyDescent="0.2">
      <c r="B1072" s="18">
        <f t="shared" si="160"/>
        <v>577</v>
      </c>
      <c r="C1072" s="3"/>
      <c r="D1072" s="3"/>
      <c r="E1072" s="3"/>
      <c r="F1072" s="90" t="s">
        <v>160</v>
      </c>
      <c r="G1072" s="2">
        <v>620</v>
      </c>
      <c r="H1072" s="3" t="s">
        <v>124</v>
      </c>
      <c r="I1072" s="4">
        <f>2104+442+1329+884+354+6201+620+4430</f>
        <v>16364</v>
      </c>
      <c r="J1072" s="4">
        <v>15275</v>
      </c>
      <c r="K1072" s="361">
        <f t="shared" si="169"/>
        <v>93.345147885602543</v>
      </c>
      <c r="L1072" s="4"/>
      <c r="M1072" s="4"/>
      <c r="N1072" s="361"/>
      <c r="O1072" s="92">
        <f t="shared" si="166"/>
        <v>16364</v>
      </c>
      <c r="P1072" s="92">
        <f t="shared" si="167"/>
        <v>15275</v>
      </c>
      <c r="Q1072" s="361">
        <f t="shared" si="168"/>
        <v>93.345147885602543</v>
      </c>
    </row>
    <row r="1073" spans="2:17" x14ac:dyDescent="0.2">
      <c r="B1073" s="18">
        <f t="shared" ref="B1073:B1136" si="170">B1072+1</f>
        <v>578</v>
      </c>
      <c r="C1073" s="3"/>
      <c r="D1073" s="3"/>
      <c r="E1073" s="3"/>
      <c r="F1073" s="90" t="s">
        <v>160</v>
      </c>
      <c r="G1073" s="2">
        <v>630</v>
      </c>
      <c r="H1073" s="3" t="s">
        <v>121</v>
      </c>
      <c r="I1073" s="4">
        <f>I1076+I1075+I1074</f>
        <v>80655</v>
      </c>
      <c r="J1073" s="4">
        <f>J1076+J1075+J1074</f>
        <v>61520</v>
      </c>
      <c r="K1073" s="361">
        <f t="shared" si="169"/>
        <v>76.275494389684468</v>
      </c>
      <c r="L1073" s="4"/>
      <c r="M1073" s="4"/>
      <c r="N1073" s="361"/>
      <c r="O1073" s="92">
        <f t="shared" si="166"/>
        <v>80655</v>
      </c>
      <c r="P1073" s="92">
        <f t="shared" si="167"/>
        <v>61520</v>
      </c>
      <c r="Q1073" s="361">
        <f t="shared" si="168"/>
        <v>76.275494389684468</v>
      </c>
    </row>
    <row r="1074" spans="2:17" x14ac:dyDescent="0.2">
      <c r="B1074" s="18">
        <f t="shared" si="170"/>
        <v>579</v>
      </c>
      <c r="C1074" s="6"/>
      <c r="D1074" s="6"/>
      <c r="E1074" s="6"/>
      <c r="F1074" s="93"/>
      <c r="G1074" s="5">
        <v>633</v>
      </c>
      <c r="H1074" s="6" t="s">
        <v>125</v>
      </c>
      <c r="I1074" s="7">
        <f>200+1200+63085+1400+1000+280+9878-108+500</f>
        <v>77435</v>
      </c>
      <c r="J1074" s="7">
        <v>58671</v>
      </c>
      <c r="K1074" s="361">
        <f t="shared" si="169"/>
        <v>75.768063537160202</v>
      </c>
      <c r="L1074" s="7"/>
      <c r="M1074" s="7"/>
      <c r="N1074" s="361"/>
      <c r="O1074" s="95">
        <f t="shared" si="166"/>
        <v>77435</v>
      </c>
      <c r="P1074" s="95">
        <f t="shared" si="167"/>
        <v>58671</v>
      </c>
      <c r="Q1074" s="361">
        <f t="shared" si="168"/>
        <v>75.768063537160202</v>
      </c>
    </row>
    <row r="1075" spans="2:17" x14ac:dyDescent="0.2">
      <c r="B1075" s="18">
        <f t="shared" si="170"/>
        <v>580</v>
      </c>
      <c r="C1075" s="6"/>
      <c r="D1075" s="6"/>
      <c r="E1075" s="6"/>
      <c r="F1075" s="93"/>
      <c r="G1075" s="5">
        <v>635</v>
      </c>
      <c r="H1075" s="6" t="s">
        <v>133</v>
      </c>
      <c r="I1075" s="7">
        <f>100+2000-500</f>
        <v>1600</v>
      </c>
      <c r="J1075" s="7">
        <v>1258</v>
      </c>
      <c r="K1075" s="361">
        <f t="shared" si="169"/>
        <v>78.625</v>
      </c>
      <c r="L1075" s="7"/>
      <c r="M1075" s="7"/>
      <c r="N1075" s="361"/>
      <c r="O1075" s="95">
        <f t="shared" si="166"/>
        <v>1600</v>
      </c>
      <c r="P1075" s="95">
        <f t="shared" si="167"/>
        <v>1258</v>
      </c>
      <c r="Q1075" s="361">
        <f t="shared" si="168"/>
        <v>78.625</v>
      </c>
    </row>
    <row r="1076" spans="2:17" x14ac:dyDescent="0.2">
      <c r="B1076" s="18">
        <f t="shared" si="170"/>
        <v>581</v>
      </c>
      <c r="C1076" s="6"/>
      <c r="D1076" s="6"/>
      <c r="E1076" s="6"/>
      <c r="F1076" s="93"/>
      <c r="G1076" s="5">
        <v>637</v>
      </c>
      <c r="H1076" s="6" t="s">
        <v>122</v>
      </c>
      <c r="I1076" s="7">
        <f>100+663+857</f>
        <v>1620</v>
      </c>
      <c r="J1076" s="7">
        <v>1591</v>
      </c>
      <c r="K1076" s="361">
        <f t="shared" si="169"/>
        <v>98.209876543209873</v>
      </c>
      <c r="L1076" s="7"/>
      <c r="M1076" s="7"/>
      <c r="N1076" s="361"/>
      <c r="O1076" s="95">
        <f t="shared" si="166"/>
        <v>1620</v>
      </c>
      <c r="P1076" s="95">
        <f t="shared" si="167"/>
        <v>1591</v>
      </c>
      <c r="Q1076" s="361">
        <f t="shared" si="168"/>
        <v>98.209876543209873</v>
      </c>
    </row>
    <row r="1077" spans="2:17" x14ac:dyDescent="0.2">
      <c r="B1077" s="18">
        <f t="shared" si="170"/>
        <v>582</v>
      </c>
      <c r="C1077" s="3"/>
      <c r="D1077" s="3"/>
      <c r="E1077" s="3"/>
      <c r="F1077" s="90" t="s">
        <v>160</v>
      </c>
      <c r="G1077" s="2">
        <v>640</v>
      </c>
      <c r="H1077" s="3" t="s">
        <v>129</v>
      </c>
      <c r="I1077" s="4">
        <f>450+2108-1960</f>
        <v>598</v>
      </c>
      <c r="J1077" s="4">
        <v>358</v>
      </c>
      <c r="K1077" s="361">
        <f t="shared" si="169"/>
        <v>59.866220735785959</v>
      </c>
      <c r="L1077" s="4"/>
      <c r="M1077" s="4"/>
      <c r="N1077" s="361"/>
      <c r="O1077" s="92">
        <f t="shared" si="166"/>
        <v>598</v>
      </c>
      <c r="P1077" s="92">
        <f t="shared" si="167"/>
        <v>358</v>
      </c>
      <c r="Q1077" s="361">
        <f t="shared" si="168"/>
        <v>59.866220735785959</v>
      </c>
    </row>
    <row r="1078" spans="2:17" x14ac:dyDescent="0.2">
      <c r="B1078" s="18">
        <f t="shared" si="170"/>
        <v>583</v>
      </c>
      <c r="C1078" s="190"/>
      <c r="D1078" s="190"/>
      <c r="E1078" s="190" t="s">
        <v>86</v>
      </c>
      <c r="F1078" s="191"/>
      <c r="G1078" s="191"/>
      <c r="H1078" s="190" t="s">
        <v>64</v>
      </c>
      <c r="I1078" s="192">
        <f>I1085+I1081+I1080+I1079</f>
        <v>90464</v>
      </c>
      <c r="J1078" s="192">
        <f>J1085+J1081+J1080+J1079</f>
        <v>74819</v>
      </c>
      <c r="K1078" s="361">
        <f t="shared" si="169"/>
        <v>82.705827732578712</v>
      </c>
      <c r="L1078" s="192">
        <f>L1086</f>
        <v>10000</v>
      </c>
      <c r="M1078" s="192">
        <f>M1086</f>
        <v>9875</v>
      </c>
      <c r="N1078" s="361">
        <f>M1078/L1078*100</f>
        <v>98.75</v>
      </c>
      <c r="O1078" s="193">
        <f t="shared" si="166"/>
        <v>100464</v>
      </c>
      <c r="P1078" s="193">
        <f t="shared" si="167"/>
        <v>84694</v>
      </c>
      <c r="Q1078" s="361">
        <f t="shared" si="168"/>
        <v>84.302834846313104</v>
      </c>
    </row>
    <row r="1079" spans="2:17" x14ac:dyDescent="0.2">
      <c r="B1079" s="18">
        <f t="shared" si="170"/>
        <v>584</v>
      </c>
      <c r="C1079" s="3"/>
      <c r="D1079" s="3"/>
      <c r="E1079" s="3"/>
      <c r="F1079" s="90" t="s">
        <v>160</v>
      </c>
      <c r="G1079" s="2">
        <v>610</v>
      </c>
      <c r="H1079" s="3" t="s">
        <v>131</v>
      </c>
      <c r="I1079" s="4">
        <f>726+360+4155+23841</f>
        <v>29082</v>
      </c>
      <c r="J1079" s="4">
        <v>28415</v>
      </c>
      <c r="K1079" s="361">
        <f t="shared" si="169"/>
        <v>97.706485111065263</v>
      </c>
      <c r="L1079" s="4"/>
      <c r="M1079" s="4"/>
      <c r="N1079" s="361"/>
      <c r="O1079" s="92">
        <f t="shared" si="166"/>
        <v>29082</v>
      </c>
      <c r="P1079" s="92">
        <f t="shared" si="167"/>
        <v>28415</v>
      </c>
      <c r="Q1079" s="361">
        <f t="shared" si="168"/>
        <v>97.706485111065263</v>
      </c>
    </row>
    <row r="1080" spans="2:17" x14ac:dyDescent="0.2">
      <c r="B1080" s="18">
        <f t="shared" si="170"/>
        <v>585</v>
      </c>
      <c r="C1080" s="3"/>
      <c r="D1080" s="3"/>
      <c r="E1080" s="3"/>
      <c r="F1080" s="90" t="s">
        <v>160</v>
      </c>
      <c r="G1080" s="2">
        <v>620</v>
      </c>
      <c r="H1080" s="3" t="s">
        <v>124</v>
      </c>
      <c r="I1080" s="4">
        <f>1386+292+875+582+233+4085+409+2918</f>
        <v>10780</v>
      </c>
      <c r="J1080" s="4">
        <v>10241</v>
      </c>
      <c r="K1080" s="361">
        <f t="shared" si="169"/>
        <v>95</v>
      </c>
      <c r="L1080" s="4"/>
      <c r="M1080" s="4"/>
      <c r="N1080" s="361"/>
      <c r="O1080" s="92">
        <f t="shared" si="166"/>
        <v>10780</v>
      </c>
      <c r="P1080" s="92">
        <f t="shared" si="167"/>
        <v>10241</v>
      </c>
      <c r="Q1080" s="361">
        <f t="shared" si="168"/>
        <v>95</v>
      </c>
    </row>
    <row r="1081" spans="2:17" x14ac:dyDescent="0.2">
      <c r="B1081" s="18">
        <f t="shared" si="170"/>
        <v>586</v>
      </c>
      <c r="C1081" s="3"/>
      <c r="D1081" s="3"/>
      <c r="E1081" s="3"/>
      <c r="F1081" s="90" t="s">
        <v>160</v>
      </c>
      <c r="G1081" s="2">
        <v>630</v>
      </c>
      <c r="H1081" s="3" t="s">
        <v>121</v>
      </c>
      <c r="I1081" s="4">
        <f>I1084+I1083+I1082</f>
        <v>49952</v>
      </c>
      <c r="J1081" s="4">
        <f>J1084+J1083+J1082</f>
        <v>35627</v>
      </c>
      <c r="K1081" s="361">
        <f t="shared" si="169"/>
        <v>71.322469570787959</v>
      </c>
      <c r="L1081" s="4"/>
      <c r="M1081" s="4"/>
      <c r="N1081" s="361"/>
      <c r="O1081" s="92">
        <f t="shared" si="166"/>
        <v>49952</v>
      </c>
      <c r="P1081" s="92">
        <f t="shared" si="167"/>
        <v>35627</v>
      </c>
      <c r="Q1081" s="361">
        <f t="shared" si="168"/>
        <v>71.322469570787959</v>
      </c>
    </row>
    <row r="1082" spans="2:17" x14ac:dyDescent="0.2">
      <c r="B1082" s="18">
        <f t="shared" si="170"/>
        <v>587</v>
      </c>
      <c r="C1082" s="6"/>
      <c r="D1082" s="6"/>
      <c r="E1082" s="6"/>
      <c r="F1082" s="93"/>
      <c r="G1082" s="5">
        <v>633</v>
      </c>
      <c r="H1082" s="6" t="s">
        <v>125</v>
      </c>
      <c r="I1082" s="7">
        <f>700+150+1500+29062+2350+280+9570+2500</f>
        <v>46112</v>
      </c>
      <c r="J1082" s="7">
        <v>33145</v>
      </c>
      <c r="K1082" s="361">
        <f t="shared" si="169"/>
        <v>71.87933726578764</v>
      </c>
      <c r="L1082" s="7"/>
      <c r="M1082" s="7"/>
      <c r="N1082" s="361"/>
      <c r="O1082" s="95">
        <f t="shared" si="166"/>
        <v>46112</v>
      </c>
      <c r="P1082" s="95">
        <f t="shared" si="167"/>
        <v>33145</v>
      </c>
      <c r="Q1082" s="361">
        <f t="shared" si="168"/>
        <v>71.87933726578764</v>
      </c>
    </row>
    <row r="1083" spans="2:17" x14ac:dyDescent="0.2">
      <c r="B1083" s="18">
        <f t="shared" si="170"/>
        <v>588</v>
      </c>
      <c r="C1083" s="6"/>
      <c r="D1083" s="6"/>
      <c r="E1083" s="6"/>
      <c r="F1083" s="93"/>
      <c r="G1083" s="5">
        <v>635</v>
      </c>
      <c r="H1083" s="6" t="s">
        <v>133</v>
      </c>
      <c r="I1083" s="7">
        <f>100+4900-2500</f>
        <v>2500</v>
      </c>
      <c r="J1083" s="7">
        <v>1324</v>
      </c>
      <c r="K1083" s="361">
        <f t="shared" si="169"/>
        <v>52.959999999999994</v>
      </c>
      <c r="L1083" s="7"/>
      <c r="M1083" s="7"/>
      <c r="N1083" s="361"/>
      <c r="O1083" s="95">
        <f t="shared" si="166"/>
        <v>2500</v>
      </c>
      <c r="P1083" s="95">
        <f t="shared" si="167"/>
        <v>1324</v>
      </c>
      <c r="Q1083" s="361">
        <f t="shared" si="168"/>
        <v>52.959999999999994</v>
      </c>
    </row>
    <row r="1084" spans="2:17" x14ac:dyDescent="0.2">
      <c r="B1084" s="18">
        <f t="shared" si="170"/>
        <v>589</v>
      </c>
      <c r="C1084" s="6"/>
      <c r="D1084" s="6"/>
      <c r="E1084" s="6"/>
      <c r="F1084" s="93"/>
      <c r="G1084" s="5">
        <v>637</v>
      </c>
      <c r="H1084" s="6" t="s">
        <v>122</v>
      </c>
      <c r="I1084" s="7">
        <f>440+100+800</f>
        <v>1340</v>
      </c>
      <c r="J1084" s="7">
        <v>1158</v>
      </c>
      <c r="K1084" s="361">
        <f t="shared" si="169"/>
        <v>86.417910447761187</v>
      </c>
      <c r="L1084" s="7"/>
      <c r="M1084" s="7"/>
      <c r="N1084" s="361"/>
      <c r="O1084" s="95">
        <f t="shared" si="166"/>
        <v>1340</v>
      </c>
      <c r="P1084" s="95">
        <f t="shared" si="167"/>
        <v>1158</v>
      </c>
      <c r="Q1084" s="361">
        <f t="shared" si="168"/>
        <v>86.417910447761187</v>
      </c>
    </row>
    <row r="1085" spans="2:17" s="122" customFormat="1" x14ac:dyDescent="0.2">
      <c r="B1085" s="18">
        <f t="shared" si="170"/>
        <v>590</v>
      </c>
      <c r="C1085" s="3"/>
      <c r="D1085" s="3"/>
      <c r="E1085" s="3"/>
      <c r="F1085" s="90" t="s">
        <v>160</v>
      </c>
      <c r="G1085" s="2">
        <v>640</v>
      </c>
      <c r="H1085" s="3" t="s">
        <v>129</v>
      </c>
      <c r="I1085" s="4">
        <f>450+200</f>
        <v>650</v>
      </c>
      <c r="J1085" s="4">
        <v>536</v>
      </c>
      <c r="K1085" s="361">
        <f t="shared" si="169"/>
        <v>82.461538461538467</v>
      </c>
      <c r="L1085" s="4"/>
      <c r="M1085" s="4"/>
      <c r="N1085" s="361"/>
      <c r="O1085" s="92">
        <f t="shared" si="166"/>
        <v>650</v>
      </c>
      <c r="P1085" s="92">
        <f t="shared" si="167"/>
        <v>536</v>
      </c>
      <c r="Q1085" s="361">
        <f t="shared" si="168"/>
        <v>82.461538461538467</v>
      </c>
    </row>
    <row r="1086" spans="2:17" s="122" customFormat="1" x14ac:dyDescent="0.2">
      <c r="B1086" s="18">
        <f t="shared" si="170"/>
        <v>591</v>
      </c>
      <c r="C1086" s="3"/>
      <c r="D1086" s="3"/>
      <c r="E1086" s="3"/>
      <c r="F1086" s="90" t="s">
        <v>160</v>
      </c>
      <c r="G1086" s="2">
        <v>710</v>
      </c>
      <c r="H1086" s="3" t="s">
        <v>175</v>
      </c>
      <c r="I1086" s="4"/>
      <c r="J1086" s="4"/>
      <c r="K1086" s="361"/>
      <c r="L1086" s="4">
        <f>L1087</f>
        <v>10000</v>
      </c>
      <c r="M1086" s="4">
        <f>M1087</f>
        <v>9875</v>
      </c>
      <c r="N1086" s="361">
        <f>M1086/L1086*100</f>
        <v>98.75</v>
      </c>
      <c r="O1086" s="92">
        <f t="shared" si="166"/>
        <v>10000</v>
      </c>
      <c r="P1086" s="92">
        <f t="shared" si="167"/>
        <v>9875</v>
      </c>
      <c r="Q1086" s="361">
        <f t="shared" si="168"/>
        <v>98.75</v>
      </c>
    </row>
    <row r="1087" spans="2:17" s="122" customFormat="1" x14ac:dyDescent="0.2">
      <c r="B1087" s="18">
        <f t="shared" si="170"/>
        <v>592</v>
      </c>
      <c r="C1087" s="3"/>
      <c r="D1087" s="3"/>
      <c r="E1087" s="3"/>
      <c r="F1087" s="90"/>
      <c r="G1087" s="5">
        <v>717</v>
      </c>
      <c r="H1087" s="6" t="s">
        <v>182</v>
      </c>
      <c r="I1087" s="4"/>
      <c r="J1087" s="4"/>
      <c r="K1087" s="361"/>
      <c r="L1087" s="7">
        <f>L1088</f>
        <v>10000</v>
      </c>
      <c r="M1087" s="7">
        <f>M1088</f>
        <v>9875</v>
      </c>
      <c r="N1087" s="361">
        <f>M1087/L1087*100</f>
        <v>98.75</v>
      </c>
      <c r="O1087" s="95">
        <f t="shared" si="166"/>
        <v>10000</v>
      </c>
      <c r="P1087" s="95">
        <f t="shared" si="167"/>
        <v>9875</v>
      </c>
      <c r="Q1087" s="361">
        <f t="shared" si="168"/>
        <v>98.75</v>
      </c>
    </row>
    <row r="1088" spans="2:17" x14ac:dyDescent="0.2">
      <c r="B1088" s="18">
        <f t="shared" si="170"/>
        <v>593</v>
      </c>
      <c r="C1088" s="3"/>
      <c r="D1088" s="3"/>
      <c r="E1088" s="3"/>
      <c r="F1088" s="90"/>
      <c r="G1088" s="106"/>
      <c r="H1088" s="9" t="s">
        <v>635</v>
      </c>
      <c r="I1088" s="4"/>
      <c r="J1088" s="4"/>
      <c r="K1088" s="361"/>
      <c r="L1088" s="10">
        <v>10000</v>
      </c>
      <c r="M1088" s="10">
        <v>9875</v>
      </c>
      <c r="N1088" s="361">
        <f>M1088/L1088*100</f>
        <v>98.75</v>
      </c>
      <c r="O1088" s="108">
        <f t="shared" si="166"/>
        <v>10000</v>
      </c>
      <c r="P1088" s="108">
        <f t="shared" si="167"/>
        <v>9875</v>
      </c>
      <c r="Q1088" s="361">
        <f t="shared" si="168"/>
        <v>98.75</v>
      </c>
    </row>
    <row r="1089" spans="2:17" s="122" customFormat="1" x14ac:dyDescent="0.2">
      <c r="B1089" s="18">
        <f t="shared" si="170"/>
        <v>594</v>
      </c>
      <c r="C1089" s="190"/>
      <c r="D1089" s="190"/>
      <c r="E1089" s="190" t="s">
        <v>94</v>
      </c>
      <c r="F1089" s="191"/>
      <c r="G1089" s="191"/>
      <c r="H1089" s="190" t="s">
        <v>95</v>
      </c>
      <c r="I1089" s="192">
        <f>I1096+I1092+I1091+I1090</f>
        <v>105321</v>
      </c>
      <c r="J1089" s="192">
        <f>J1096+J1092+J1091+J1090</f>
        <v>86692</v>
      </c>
      <c r="K1089" s="361">
        <f t="shared" ref="K1089:K1096" si="171">J1089/I1089*100</f>
        <v>82.312169462880149</v>
      </c>
      <c r="L1089" s="192">
        <f>L1097</f>
        <v>10000</v>
      </c>
      <c r="M1089" s="192">
        <f>M1097</f>
        <v>9875</v>
      </c>
      <c r="N1089" s="361">
        <f>M1089/L1089*100</f>
        <v>98.75</v>
      </c>
      <c r="O1089" s="193">
        <f t="shared" si="166"/>
        <v>115321</v>
      </c>
      <c r="P1089" s="193">
        <f t="shared" si="167"/>
        <v>96567</v>
      </c>
      <c r="Q1089" s="361">
        <f t="shared" si="168"/>
        <v>83.737567312111423</v>
      </c>
    </row>
    <row r="1090" spans="2:17" s="122" customFormat="1" x14ac:dyDescent="0.2">
      <c r="B1090" s="18">
        <f t="shared" si="170"/>
        <v>595</v>
      </c>
      <c r="C1090" s="3"/>
      <c r="D1090" s="3"/>
      <c r="E1090" s="3"/>
      <c r="F1090" s="90" t="s">
        <v>160</v>
      </c>
      <c r="G1090" s="2">
        <v>610</v>
      </c>
      <c r="H1090" s="3" t="s">
        <v>131</v>
      </c>
      <c r="I1090" s="4">
        <f>768+480+4418+25260</f>
        <v>30926</v>
      </c>
      <c r="J1090" s="4">
        <v>30865</v>
      </c>
      <c r="K1090" s="361">
        <f t="shared" si="171"/>
        <v>99.802754963461155</v>
      </c>
      <c r="L1090" s="4"/>
      <c r="M1090" s="4"/>
      <c r="N1090" s="361"/>
      <c r="O1090" s="92">
        <f t="shared" si="166"/>
        <v>30926</v>
      </c>
      <c r="P1090" s="92">
        <f t="shared" si="167"/>
        <v>30865</v>
      </c>
      <c r="Q1090" s="361">
        <f t="shared" si="168"/>
        <v>99.802754963461155</v>
      </c>
    </row>
    <row r="1091" spans="2:17" s="122" customFormat="1" x14ac:dyDescent="0.2">
      <c r="B1091" s="18">
        <f t="shared" si="170"/>
        <v>596</v>
      </c>
      <c r="C1091" s="3"/>
      <c r="D1091" s="3"/>
      <c r="E1091" s="3"/>
      <c r="F1091" s="90" t="s">
        <v>160</v>
      </c>
      <c r="G1091" s="2">
        <v>620</v>
      </c>
      <c r="H1091" s="3" t="s">
        <v>124</v>
      </c>
      <c r="I1091" s="4">
        <f>1474+310+931+619+248+4344+434+3103</f>
        <v>11463</v>
      </c>
      <c r="J1091" s="4">
        <v>11440</v>
      </c>
      <c r="K1091" s="361">
        <f t="shared" si="171"/>
        <v>99.799354444735229</v>
      </c>
      <c r="L1091" s="4"/>
      <c r="M1091" s="4"/>
      <c r="N1091" s="361"/>
      <c r="O1091" s="92">
        <f t="shared" si="166"/>
        <v>11463</v>
      </c>
      <c r="P1091" s="92">
        <f t="shared" si="167"/>
        <v>11440</v>
      </c>
      <c r="Q1091" s="361">
        <f t="shared" si="168"/>
        <v>99.799354444735229</v>
      </c>
    </row>
    <row r="1092" spans="2:17" s="122" customFormat="1" x14ac:dyDescent="0.2">
      <c r="B1092" s="18">
        <f t="shared" si="170"/>
        <v>597</v>
      </c>
      <c r="C1092" s="3"/>
      <c r="D1092" s="3"/>
      <c r="E1092" s="3"/>
      <c r="F1092" s="90" t="s">
        <v>160</v>
      </c>
      <c r="G1092" s="2">
        <v>630</v>
      </c>
      <c r="H1092" s="3" t="s">
        <v>121</v>
      </c>
      <c r="I1092" s="4">
        <f>I1095+I1094+I1093</f>
        <v>60680</v>
      </c>
      <c r="J1092" s="4">
        <f>J1095+J1094+J1093</f>
        <v>44190</v>
      </c>
      <c r="K1092" s="361">
        <f t="shared" si="171"/>
        <v>72.824653922214893</v>
      </c>
      <c r="L1092" s="4"/>
      <c r="M1092" s="4"/>
      <c r="N1092" s="361"/>
      <c r="O1092" s="92">
        <f t="shared" si="166"/>
        <v>60680</v>
      </c>
      <c r="P1092" s="92">
        <f t="shared" si="167"/>
        <v>44190</v>
      </c>
      <c r="Q1092" s="361">
        <f t="shared" si="168"/>
        <v>72.824653922214893</v>
      </c>
    </row>
    <row r="1093" spans="2:17" x14ac:dyDescent="0.2">
      <c r="B1093" s="18">
        <f t="shared" si="170"/>
        <v>598</v>
      </c>
      <c r="C1093" s="6"/>
      <c r="D1093" s="6"/>
      <c r="E1093" s="6"/>
      <c r="F1093" s="93"/>
      <c r="G1093" s="5">
        <v>633</v>
      </c>
      <c r="H1093" s="6" t="s">
        <v>125</v>
      </c>
      <c r="I1093" s="7">
        <f>500+150+2000+39823+2500+280+10187+3000</f>
        <v>58440</v>
      </c>
      <c r="J1093" s="7">
        <v>42899</v>
      </c>
      <c r="K1093" s="361">
        <f t="shared" si="171"/>
        <v>73.406913073237519</v>
      </c>
      <c r="L1093" s="7"/>
      <c r="M1093" s="7"/>
      <c r="N1093" s="361"/>
      <c r="O1093" s="95">
        <f t="shared" si="166"/>
        <v>58440</v>
      </c>
      <c r="P1093" s="95">
        <f t="shared" si="167"/>
        <v>42899</v>
      </c>
      <c r="Q1093" s="361">
        <f t="shared" si="168"/>
        <v>73.406913073237519</v>
      </c>
    </row>
    <row r="1094" spans="2:17" s="122" customFormat="1" x14ac:dyDescent="0.2">
      <c r="B1094" s="18">
        <f t="shared" si="170"/>
        <v>599</v>
      </c>
      <c r="C1094" s="6"/>
      <c r="D1094" s="6"/>
      <c r="E1094" s="6"/>
      <c r="F1094" s="93"/>
      <c r="G1094" s="5">
        <v>635</v>
      </c>
      <c r="H1094" s="6" t="s">
        <v>133</v>
      </c>
      <c r="I1094" s="7">
        <f>100+3900-3000</f>
        <v>1000</v>
      </c>
      <c r="J1094" s="7">
        <v>160</v>
      </c>
      <c r="K1094" s="361">
        <f t="shared" si="171"/>
        <v>16</v>
      </c>
      <c r="L1094" s="7"/>
      <c r="M1094" s="7"/>
      <c r="N1094" s="361"/>
      <c r="O1094" s="95">
        <f t="shared" si="166"/>
        <v>1000</v>
      </c>
      <c r="P1094" s="95">
        <f t="shared" si="167"/>
        <v>160</v>
      </c>
      <c r="Q1094" s="361">
        <f t="shared" si="168"/>
        <v>16</v>
      </c>
    </row>
    <row r="1095" spans="2:17" s="122" customFormat="1" x14ac:dyDescent="0.2">
      <c r="B1095" s="18">
        <f t="shared" si="170"/>
        <v>600</v>
      </c>
      <c r="C1095" s="6"/>
      <c r="D1095" s="6"/>
      <c r="E1095" s="6"/>
      <c r="F1095" s="93"/>
      <c r="G1095" s="5">
        <v>637</v>
      </c>
      <c r="H1095" s="6" t="s">
        <v>122</v>
      </c>
      <c r="I1095" s="7">
        <f>100+464+676</f>
        <v>1240</v>
      </c>
      <c r="J1095" s="7">
        <v>1131</v>
      </c>
      <c r="K1095" s="361">
        <f t="shared" si="171"/>
        <v>91.209677419354847</v>
      </c>
      <c r="L1095" s="7"/>
      <c r="M1095" s="7"/>
      <c r="N1095" s="361"/>
      <c r="O1095" s="95">
        <f t="shared" si="166"/>
        <v>1240</v>
      </c>
      <c r="P1095" s="95">
        <f t="shared" si="167"/>
        <v>1131</v>
      </c>
      <c r="Q1095" s="361">
        <f t="shared" si="168"/>
        <v>91.209677419354847</v>
      </c>
    </row>
    <row r="1096" spans="2:17" s="122" customFormat="1" x14ac:dyDescent="0.2">
      <c r="B1096" s="18">
        <f t="shared" si="170"/>
        <v>601</v>
      </c>
      <c r="C1096" s="3"/>
      <c r="D1096" s="3"/>
      <c r="E1096" s="3"/>
      <c r="F1096" s="90" t="s">
        <v>160</v>
      </c>
      <c r="G1096" s="2">
        <v>640</v>
      </c>
      <c r="H1096" s="3" t="s">
        <v>129</v>
      </c>
      <c r="I1096" s="4">
        <f>450+1802</f>
        <v>2252</v>
      </c>
      <c r="J1096" s="4">
        <v>197</v>
      </c>
      <c r="K1096" s="361">
        <f t="shared" si="171"/>
        <v>8.7477797513321498</v>
      </c>
      <c r="L1096" s="4"/>
      <c r="M1096" s="4"/>
      <c r="N1096" s="361"/>
      <c r="O1096" s="92">
        <f t="shared" si="166"/>
        <v>2252</v>
      </c>
      <c r="P1096" s="92">
        <f t="shared" si="167"/>
        <v>197</v>
      </c>
      <c r="Q1096" s="361">
        <f t="shared" si="168"/>
        <v>8.7477797513321498</v>
      </c>
    </row>
    <row r="1097" spans="2:17" s="122" customFormat="1" x14ac:dyDescent="0.2">
      <c r="B1097" s="18">
        <f t="shared" si="170"/>
        <v>602</v>
      </c>
      <c r="C1097" s="3"/>
      <c r="D1097" s="3"/>
      <c r="E1097" s="3"/>
      <c r="F1097" s="90" t="s">
        <v>160</v>
      </c>
      <c r="G1097" s="2">
        <v>710</v>
      </c>
      <c r="H1097" s="3" t="s">
        <v>175</v>
      </c>
      <c r="I1097" s="4"/>
      <c r="J1097" s="4"/>
      <c r="K1097" s="361"/>
      <c r="L1097" s="4">
        <f>L1098</f>
        <v>10000</v>
      </c>
      <c r="M1097" s="4">
        <f>M1098</f>
        <v>9875</v>
      </c>
      <c r="N1097" s="361">
        <f>M1097/L1097*100</f>
        <v>98.75</v>
      </c>
      <c r="O1097" s="92">
        <f t="shared" si="166"/>
        <v>10000</v>
      </c>
      <c r="P1097" s="92">
        <f t="shared" si="167"/>
        <v>9875</v>
      </c>
      <c r="Q1097" s="361">
        <f t="shared" si="168"/>
        <v>98.75</v>
      </c>
    </row>
    <row r="1098" spans="2:17" s="122" customFormat="1" x14ac:dyDescent="0.2">
      <c r="B1098" s="18">
        <f t="shared" si="170"/>
        <v>603</v>
      </c>
      <c r="C1098" s="3"/>
      <c r="D1098" s="3"/>
      <c r="E1098" s="3"/>
      <c r="F1098" s="90"/>
      <c r="G1098" s="5">
        <v>717</v>
      </c>
      <c r="H1098" s="6" t="s">
        <v>182</v>
      </c>
      <c r="I1098" s="4"/>
      <c r="J1098" s="4"/>
      <c r="K1098" s="361"/>
      <c r="L1098" s="7">
        <f>L1099</f>
        <v>10000</v>
      </c>
      <c r="M1098" s="7">
        <f>M1099</f>
        <v>9875</v>
      </c>
      <c r="N1098" s="361">
        <f>M1098/L1098*100</f>
        <v>98.75</v>
      </c>
      <c r="O1098" s="95">
        <f t="shared" si="166"/>
        <v>10000</v>
      </c>
      <c r="P1098" s="95">
        <f t="shared" si="167"/>
        <v>9875</v>
      </c>
      <c r="Q1098" s="361">
        <f t="shared" si="168"/>
        <v>98.75</v>
      </c>
    </row>
    <row r="1099" spans="2:17" x14ac:dyDescent="0.2">
      <c r="B1099" s="18">
        <f t="shared" si="170"/>
        <v>604</v>
      </c>
      <c r="C1099" s="3"/>
      <c r="D1099" s="3"/>
      <c r="E1099" s="3"/>
      <c r="F1099" s="90"/>
      <c r="G1099" s="106"/>
      <c r="H1099" s="9" t="s">
        <v>635</v>
      </c>
      <c r="I1099" s="4"/>
      <c r="J1099" s="4"/>
      <c r="K1099" s="361"/>
      <c r="L1099" s="10">
        <v>10000</v>
      </c>
      <c r="M1099" s="10">
        <v>9875</v>
      </c>
      <c r="N1099" s="361">
        <f>M1099/L1099*100</f>
        <v>98.75</v>
      </c>
      <c r="O1099" s="108">
        <f t="shared" si="166"/>
        <v>10000</v>
      </c>
      <c r="P1099" s="108">
        <f t="shared" si="167"/>
        <v>9875</v>
      </c>
      <c r="Q1099" s="361">
        <f t="shared" si="168"/>
        <v>98.75</v>
      </c>
    </row>
    <row r="1100" spans="2:17" x14ac:dyDescent="0.2">
      <c r="B1100" s="18">
        <f t="shared" si="170"/>
        <v>605</v>
      </c>
      <c r="C1100" s="190"/>
      <c r="D1100" s="190"/>
      <c r="E1100" s="190" t="s">
        <v>97</v>
      </c>
      <c r="F1100" s="191"/>
      <c r="G1100" s="191"/>
      <c r="H1100" s="190" t="s">
        <v>98</v>
      </c>
      <c r="I1100" s="192">
        <f>I1107+I1103+I1102+I1101</f>
        <v>95760</v>
      </c>
      <c r="J1100" s="192">
        <f>J1107+J1103+J1102+J1101</f>
        <v>77463</v>
      </c>
      <c r="K1100" s="361">
        <f t="shared" ref="K1100:K1115" si="172">J1100/I1100*100</f>
        <v>80.892857142857139</v>
      </c>
      <c r="L1100" s="192"/>
      <c r="M1100" s="192"/>
      <c r="N1100" s="361"/>
      <c r="O1100" s="193">
        <f t="shared" si="166"/>
        <v>95760</v>
      </c>
      <c r="P1100" s="193">
        <f t="shared" si="167"/>
        <v>77463</v>
      </c>
      <c r="Q1100" s="361">
        <f t="shared" si="168"/>
        <v>80.892857142857139</v>
      </c>
    </row>
    <row r="1101" spans="2:17" x14ac:dyDescent="0.2">
      <c r="B1101" s="18">
        <f t="shared" si="170"/>
        <v>606</v>
      </c>
      <c r="C1101" s="3"/>
      <c r="D1101" s="3"/>
      <c r="E1101" s="3"/>
      <c r="F1101" s="90" t="s">
        <v>160</v>
      </c>
      <c r="G1101" s="2">
        <v>610</v>
      </c>
      <c r="H1101" s="3" t="s">
        <v>131</v>
      </c>
      <c r="I1101" s="4">
        <f>810+600+4612+26259</f>
        <v>32281</v>
      </c>
      <c r="J1101" s="4">
        <v>32234</v>
      </c>
      <c r="K1101" s="361">
        <f t="shared" si="172"/>
        <v>99.854403519097929</v>
      </c>
      <c r="L1101" s="4"/>
      <c r="M1101" s="4"/>
      <c r="N1101" s="361"/>
      <c r="O1101" s="92">
        <f t="shared" si="166"/>
        <v>32281</v>
      </c>
      <c r="P1101" s="92">
        <f t="shared" si="167"/>
        <v>32234</v>
      </c>
      <c r="Q1101" s="361">
        <f t="shared" si="168"/>
        <v>99.854403519097929</v>
      </c>
    </row>
    <row r="1102" spans="2:17" x14ac:dyDescent="0.2">
      <c r="B1102" s="18">
        <f t="shared" si="170"/>
        <v>607</v>
      </c>
      <c r="C1102" s="3"/>
      <c r="D1102" s="3"/>
      <c r="E1102" s="3"/>
      <c r="F1102" s="90" t="s">
        <v>160</v>
      </c>
      <c r="G1102" s="2">
        <v>620</v>
      </c>
      <c r="H1102" s="3" t="s">
        <v>124</v>
      </c>
      <c r="I1102" s="4">
        <v>11962</v>
      </c>
      <c r="J1102" s="4">
        <v>11653</v>
      </c>
      <c r="K1102" s="361">
        <f t="shared" si="172"/>
        <v>97.416819929777631</v>
      </c>
      <c r="L1102" s="4"/>
      <c r="M1102" s="4"/>
      <c r="N1102" s="361"/>
      <c r="O1102" s="92">
        <f t="shared" si="166"/>
        <v>11962</v>
      </c>
      <c r="P1102" s="92">
        <f t="shared" si="167"/>
        <v>11653</v>
      </c>
      <c r="Q1102" s="361">
        <f t="shared" si="168"/>
        <v>97.416819929777631</v>
      </c>
    </row>
    <row r="1103" spans="2:17" x14ac:dyDescent="0.2">
      <c r="B1103" s="18">
        <f t="shared" si="170"/>
        <v>608</v>
      </c>
      <c r="C1103" s="3"/>
      <c r="D1103" s="3"/>
      <c r="E1103" s="3"/>
      <c r="F1103" s="90" t="s">
        <v>160</v>
      </c>
      <c r="G1103" s="2">
        <v>630</v>
      </c>
      <c r="H1103" s="3" t="s">
        <v>121</v>
      </c>
      <c r="I1103" s="4">
        <f>I1106+I1105+I1104</f>
        <v>51067</v>
      </c>
      <c r="J1103" s="4">
        <f>J1106+J1105+J1104</f>
        <v>33421</v>
      </c>
      <c r="K1103" s="361">
        <f t="shared" si="172"/>
        <v>65.445395265043956</v>
      </c>
      <c r="L1103" s="4"/>
      <c r="M1103" s="4"/>
      <c r="N1103" s="361"/>
      <c r="O1103" s="92">
        <f t="shared" si="166"/>
        <v>51067</v>
      </c>
      <c r="P1103" s="92">
        <f t="shared" si="167"/>
        <v>33421</v>
      </c>
      <c r="Q1103" s="361">
        <f t="shared" si="168"/>
        <v>65.445395265043956</v>
      </c>
    </row>
    <row r="1104" spans="2:17" x14ac:dyDescent="0.2">
      <c r="B1104" s="18">
        <f t="shared" si="170"/>
        <v>609</v>
      </c>
      <c r="C1104" s="6"/>
      <c r="D1104" s="6"/>
      <c r="E1104" s="6"/>
      <c r="F1104" s="93"/>
      <c r="G1104" s="5">
        <v>633</v>
      </c>
      <c r="H1104" s="6" t="s">
        <v>125</v>
      </c>
      <c r="I1104" s="7">
        <f>150+36978+1500+1500+280+7409</f>
        <v>47817</v>
      </c>
      <c r="J1104" s="7">
        <v>31846</v>
      </c>
      <c r="K1104" s="361">
        <f t="shared" si="172"/>
        <v>66.599744860614436</v>
      </c>
      <c r="L1104" s="7"/>
      <c r="M1104" s="7"/>
      <c r="N1104" s="361"/>
      <c r="O1104" s="95">
        <f t="shared" si="166"/>
        <v>47817</v>
      </c>
      <c r="P1104" s="95">
        <f t="shared" si="167"/>
        <v>31846</v>
      </c>
      <c r="Q1104" s="361">
        <f t="shared" si="168"/>
        <v>66.599744860614436</v>
      </c>
    </row>
    <row r="1105" spans="2:17" x14ac:dyDescent="0.2">
      <c r="B1105" s="18">
        <f t="shared" si="170"/>
        <v>610</v>
      </c>
      <c r="C1105" s="6"/>
      <c r="D1105" s="6"/>
      <c r="E1105" s="6"/>
      <c r="F1105" s="93"/>
      <c r="G1105" s="5">
        <v>635</v>
      </c>
      <c r="H1105" s="6" t="s">
        <v>133</v>
      </c>
      <c r="I1105" s="7">
        <f>100+1900</f>
        <v>2000</v>
      </c>
      <c r="J1105" s="7">
        <v>399</v>
      </c>
      <c r="K1105" s="361">
        <f t="shared" si="172"/>
        <v>19.950000000000003</v>
      </c>
      <c r="L1105" s="7"/>
      <c r="M1105" s="7"/>
      <c r="N1105" s="361"/>
      <c r="O1105" s="95">
        <f t="shared" si="166"/>
        <v>2000</v>
      </c>
      <c r="P1105" s="95">
        <f t="shared" si="167"/>
        <v>399</v>
      </c>
      <c r="Q1105" s="361">
        <f t="shared" si="168"/>
        <v>19.950000000000003</v>
      </c>
    </row>
    <row r="1106" spans="2:17" x14ac:dyDescent="0.2">
      <c r="B1106" s="18">
        <f t="shared" si="170"/>
        <v>611</v>
      </c>
      <c r="C1106" s="6"/>
      <c r="D1106" s="6"/>
      <c r="E1106" s="6"/>
      <c r="F1106" s="93"/>
      <c r="G1106" s="5">
        <v>637</v>
      </c>
      <c r="H1106" s="6" t="s">
        <v>122</v>
      </c>
      <c r="I1106" s="7">
        <f>484+100+666</f>
        <v>1250</v>
      </c>
      <c r="J1106" s="7">
        <v>1176</v>
      </c>
      <c r="K1106" s="361">
        <f t="shared" si="172"/>
        <v>94.08</v>
      </c>
      <c r="L1106" s="7"/>
      <c r="M1106" s="7"/>
      <c r="N1106" s="361"/>
      <c r="O1106" s="95">
        <f t="shared" si="166"/>
        <v>1250</v>
      </c>
      <c r="P1106" s="95">
        <f t="shared" si="167"/>
        <v>1176</v>
      </c>
      <c r="Q1106" s="361">
        <f t="shared" si="168"/>
        <v>94.08</v>
      </c>
    </row>
    <row r="1107" spans="2:17" x14ac:dyDescent="0.2">
      <c r="B1107" s="18">
        <f t="shared" si="170"/>
        <v>612</v>
      </c>
      <c r="C1107" s="3"/>
      <c r="D1107" s="3"/>
      <c r="E1107" s="3"/>
      <c r="F1107" s="90" t="s">
        <v>160</v>
      </c>
      <c r="G1107" s="2">
        <v>640</v>
      </c>
      <c r="H1107" s="3" t="s">
        <v>129</v>
      </c>
      <c r="I1107" s="4">
        <v>450</v>
      </c>
      <c r="J1107" s="4">
        <v>155</v>
      </c>
      <c r="K1107" s="361">
        <f t="shared" si="172"/>
        <v>34.444444444444443</v>
      </c>
      <c r="L1107" s="4"/>
      <c r="M1107" s="4"/>
      <c r="N1107" s="361"/>
      <c r="O1107" s="92">
        <f t="shared" si="166"/>
        <v>450</v>
      </c>
      <c r="P1107" s="92">
        <f t="shared" si="167"/>
        <v>155</v>
      </c>
      <c r="Q1107" s="361">
        <f t="shared" si="168"/>
        <v>34.444444444444443</v>
      </c>
    </row>
    <row r="1108" spans="2:17" x14ac:dyDescent="0.2">
      <c r="B1108" s="18">
        <f t="shared" si="170"/>
        <v>613</v>
      </c>
      <c r="C1108" s="190"/>
      <c r="D1108" s="190"/>
      <c r="E1108" s="190" t="s">
        <v>84</v>
      </c>
      <c r="F1108" s="191"/>
      <c r="G1108" s="191"/>
      <c r="H1108" s="190" t="s">
        <v>85</v>
      </c>
      <c r="I1108" s="192">
        <f>I1115+I1111+I1110+I1109</f>
        <v>150427</v>
      </c>
      <c r="J1108" s="192">
        <f>J1115+J1111+J1110+J1109</f>
        <v>127601</v>
      </c>
      <c r="K1108" s="361">
        <f t="shared" si="172"/>
        <v>84.825862378429406</v>
      </c>
      <c r="L1108" s="192">
        <f>L1116</f>
        <v>10000</v>
      </c>
      <c r="M1108" s="192">
        <f>M1116</f>
        <v>9952</v>
      </c>
      <c r="N1108" s="361">
        <f>M1108/L1108*100</f>
        <v>99.52</v>
      </c>
      <c r="O1108" s="193">
        <f t="shared" si="166"/>
        <v>160427</v>
      </c>
      <c r="P1108" s="193">
        <f t="shared" si="167"/>
        <v>137553</v>
      </c>
      <c r="Q1108" s="361">
        <f t="shared" si="168"/>
        <v>85.741801567067881</v>
      </c>
    </row>
    <row r="1109" spans="2:17" x14ac:dyDescent="0.2">
      <c r="B1109" s="18">
        <f t="shared" si="170"/>
        <v>614</v>
      </c>
      <c r="C1109" s="3"/>
      <c r="D1109" s="3"/>
      <c r="E1109" s="3"/>
      <c r="F1109" s="90" t="s">
        <v>160</v>
      </c>
      <c r="G1109" s="2">
        <v>610</v>
      </c>
      <c r="H1109" s="3" t="s">
        <v>131</v>
      </c>
      <c r="I1109" s="4">
        <f>810+600+7147+41472</f>
        <v>50029</v>
      </c>
      <c r="J1109" s="4">
        <v>49645</v>
      </c>
      <c r="K1109" s="361">
        <f t="shared" si="172"/>
        <v>99.23244518179456</v>
      </c>
      <c r="L1109" s="4"/>
      <c r="M1109" s="4"/>
      <c r="N1109" s="361"/>
      <c r="O1109" s="92">
        <f t="shared" si="166"/>
        <v>50029</v>
      </c>
      <c r="P1109" s="92">
        <f t="shared" si="167"/>
        <v>49645</v>
      </c>
      <c r="Q1109" s="361">
        <f t="shared" si="168"/>
        <v>99.23244518179456</v>
      </c>
    </row>
    <row r="1110" spans="2:17" x14ac:dyDescent="0.2">
      <c r="B1110" s="18">
        <f t="shared" si="170"/>
        <v>615</v>
      </c>
      <c r="C1110" s="3"/>
      <c r="D1110" s="3"/>
      <c r="E1110" s="3"/>
      <c r="F1110" s="90" t="s">
        <v>160</v>
      </c>
      <c r="G1110" s="2">
        <v>620</v>
      </c>
      <c r="H1110" s="3" t="s">
        <v>124</v>
      </c>
      <c r="I1110" s="4">
        <f>2376+500+1501+1001+400+7004+700+5003</f>
        <v>18485</v>
      </c>
      <c r="J1110" s="4">
        <v>18484</v>
      </c>
      <c r="K1110" s="361">
        <f t="shared" si="172"/>
        <v>99.994590208276975</v>
      </c>
      <c r="L1110" s="4"/>
      <c r="M1110" s="4"/>
      <c r="N1110" s="361"/>
      <c r="O1110" s="92">
        <f t="shared" si="166"/>
        <v>18485</v>
      </c>
      <c r="P1110" s="92">
        <f t="shared" si="167"/>
        <v>18484</v>
      </c>
      <c r="Q1110" s="361">
        <f t="shared" si="168"/>
        <v>99.994590208276975</v>
      </c>
    </row>
    <row r="1111" spans="2:17" x14ac:dyDescent="0.2">
      <c r="B1111" s="18">
        <f t="shared" si="170"/>
        <v>616</v>
      </c>
      <c r="C1111" s="3"/>
      <c r="D1111" s="3"/>
      <c r="E1111" s="3"/>
      <c r="F1111" s="90" t="s">
        <v>160</v>
      </c>
      <c r="G1111" s="2">
        <v>630</v>
      </c>
      <c r="H1111" s="3" t="s">
        <v>121</v>
      </c>
      <c r="I1111" s="4">
        <f>I1114+I1113+I1112</f>
        <v>79019</v>
      </c>
      <c r="J1111" s="4">
        <f>J1114+J1113+J1112</f>
        <v>56849</v>
      </c>
      <c r="K1111" s="361">
        <f t="shared" si="172"/>
        <v>71.943456637011352</v>
      </c>
      <c r="L1111" s="4"/>
      <c r="M1111" s="4"/>
      <c r="N1111" s="361"/>
      <c r="O1111" s="92">
        <f t="shared" si="166"/>
        <v>79019</v>
      </c>
      <c r="P1111" s="92">
        <f t="shared" si="167"/>
        <v>56849</v>
      </c>
      <c r="Q1111" s="361">
        <f t="shared" si="168"/>
        <v>71.943456637011352</v>
      </c>
    </row>
    <row r="1112" spans="2:17" x14ac:dyDescent="0.2">
      <c r="B1112" s="18">
        <f t="shared" si="170"/>
        <v>617</v>
      </c>
      <c r="C1112" s="6"/>
      <c r="D1112" s="6"/>
      <c r="E1112" s="6"/>
      <c r="F1112" s="93"/>
      <c r="G1112" s="5">
        <v>633</v>
      </c>
      <c r="H1112" s="6" t="s">
        <v>125</v>
      </c>
      <c r="I1112" s="7">
        <f>300+3500+56029+280+12039-109</f>
        <v>72039</v>
      </c>
      <c r="J1112" s="7">
        <v>53678</v>
      </c>
      <c r="K1112" s="361">
        <f t="shared" si="172"/>
        <v>74.512416885298236</v>
      </c>
      <c r="L1112" s="7"/>
      <c r="M1112" s="7"/>
      <c r="N1112" s="361"/>
      <c r="O1112" s="95">
        <f t="shared" ref="O1112:O1175" si="173">I1112+L1112</f>
        <v>72039</v>
      </c>
      <c r="P1112" s="95">
        <f t="shared" ref="P1112:P1175" si="174">J1112+M1112</f>
        <v>53678</v>
      </c>
      <c r="Q1112" s="361">
        <f t="shared" si="168"/>
        <v>74.512416885298236</v>
      </c>
    </row>
    <row r="1113" spans="2:17" x14ac:dyDescent="0.2">
      <c r="B1113" s="18">
        <f t="shared" si="170"/>
        <v>618</v>
      </c>
      <c r="C1113" s="6"/>
      <c r="D1113" s="6"/>
      <c r="E1113" s="6"/>
      <c r="F1113" s="93"/>
      <c r="G1113" s="5">
        <v>635</v>
      </c>
      <c r="H1113" s="6" t="s">
        <v>133</v>
      </c>
      <c r="I1113" s="7">
        <f>100+5100</f>
        <v>5200</v>
      </c>
      <c r="J1113" s="7">
        <v>1431</v>
      </c>
      <c r="K1113" s="361">
        <f t="shared" si="172"/>
        <v>27.519230769230766</v>
      </c>
      <c r="L1113" s="7"/>
      <c r="M1113" s="7"/>
      <c r="N1113" s="361"/>
      <c r="O1113" s="95">
        <f t="shared" si="173"/>
        <v>5200</v>
      </c>
      <c r="P1113" s="95">
        <f t="shared" si="174"/>
        <v>1431</v>
      </c>
      <c r="Q1113" s="361">
        <f t="shared" si="168"/>
        <v>27.519230769230766</v>
      </c>
    </row>
    <row r="1114" spans="2:17" x14ac:dyDescent="0.2">
      <c r="B1114" s="18">
        <f t="shared" si="170"/>
        <v>619</v>
      </c>
      <c r="C1114" s="6"/>
      <c r="D1114" s="6"/>
      <c r="E1114" s="6"/>
      <c r="F1114" s="93"/>
      <c r="G1114" s="5">
        <v>637</v>
      </c>
      <c r="H1114" s="6" t="s">
        <v>122</v>
      </c>
      <c r="I1114" s="7">
        <f>750+1030</f>
        <v>1780</v>
      </c>
      <c r="J1114" s="7">
        <v>1740</v>
      </c>
      <c r="K1114" s="361">
        <f t="shared" si="172"/>
        <v>97.752808988764045</v>
      </c>
      <c r="L1114" s="7"/>
      <c r="M1114" s="7"/>
      <c r="N1114" s="361"/>
      <c r="O1114" s="95">
        <f t="shared" si="173"/>
        <v>1780</v>
      </c>
      <c r="P1114" s="95">
        <f t="shared" si="174"/>
        <v>1740</v>
      </c>
      <c r="Q1114" s="361">
        <f t="shared" ref="Q1114:Q1177" si="175">P1114/O1114*100</f>
        <v>97.752808988764045</v>
      </c>
    </row>
    <row r="1115" spans="2:17" x14ac:dyDescent="0.2">
      <c r="B1115" s="18">
        <f t="shared" si="170"/>
        <v>620</v>
      </c>
      <c r="C1115" s="3"/>
      <c r="D1115" s="3"/>
      <c r="E1115" s="3"/>
      <c r="F1115" s="90" t="s">
        <v>160</v>
      </c>
      <c r="G1115" s="2">
        <v>640</v>
      </c>
      <c r="H1115" s="3" t="s">
        <v>129</v>
      </c>
      <c r="I1115" s="4">
        <f>450+109+2335</f>
        <v>2894</v>
      </c>
      <c r="J1115" s="4">
        <v>2623</v>
      </c>
      <c r="K1115" s="361">
        <f t="shared" si="172"/>
        <v>90.635798203178979</v>
      </c>
      <c r="L1115" s="4"/>
      <c r="M1115" s="4"/>
      <c r="N1115" s="361"/>
      <c r="O1115" s="92">
        <f t="shared" si="173"/>
        <v>2894</v>
      </c>
      <c r="P1115" s="92">
        <f t="shared" si="174"/>
        <v>2623</v>
      </c>
      <c r="Q1115" s="361">
        <f t="shared" si="175"/>
        <v>90.635798203178979</v>
      </c>
    </row>
    <row r="1116" spans="2:17" x14ac:dyDescent="0.2">
      <c r="B1116" s="18">
        <f t="shared" si="170"/>
        <v>621</v>
      </c>
      <c r="C1116" s="3"/>
      <c r="D1116" s="3"/>
      <c r="E1116" s="3"/>
      <c r="F1116" s="90" t="s">
        <v>160</v>
      </c>
      <c r="G1116" s="2">
        <v>710</v>
      </c>
      <c r="H1116" s="3" t="s">
        <v>175</v>
      </c>
      <c r="I1116" s="4"/>
      <c r="J1116" s="4"/>
      <c r="K1116" s="361"/>
      <c r="L1116" s="4">
        <f>L1117</f>
        <v>10000</v>
      </c>
      <c r="M1116" s="4">
        <f>M1117</f>
        <v>9952</v>
      </c>
      <c r="N1116" s="361">
        <f>M1116/L1116*100</f>
        <v>99.52</v>
      </c>
      <c r="O1116" s="92">
        <f t="shared" si="173"/>
        <v>10000</v>
      </c>
      <c r="P1116" s="92">
        <f t="shared" si="174"/>
        <v>9952</v>
      </c>
      <c r="Q1116" s="361">
        <f t="shared" si="175"/>
        <v>99.52</v>
      </c>
    </row>
    <row r="1117" spans="2:17" x14ac:dyDescent="0.2">
      <c r="B1117" s="18">
        <f t="shared" si="170"/>
        <v>622</v>
      </c>
      <c r="C1117" s="3"/>
      <c r="D1117" s="3"/>
      <c r="E1117" s="3"/>
      <c r="F1117" s="90"/>
      <c r="G1117" s="5">
        <v>717</v>
      </c>
      <c r="H1117" s="6" t="s">
        <v>182</v>
      </c>
      <c r="I1117" s="4"/>
      <c r="J1117" s="4"/>
      <c r="K1117" s="361"/>
      <c r="L1117" s="7">
        <f>L1118</f>
        <v>10000</v>
      </c>
      <c r="M1117" s="7">
        <f>M1118</f>
        <v>9952</v>
      </c>
      <c r="N1117" s="361">
        <f>M1117/L1117*100</f>
        <v>99.52</v>
      </c>
      <c r="O1117" s="95">
        <f t="shared" si="173"/>
        <v>10000</v>
      </c>
      <c r="P1117" s="95">
        <f t="shared" si="174"/>
        <v>9952</v>
      </c>
      <c r="Q1117" s="361">
        <f t="shared" si="175"/>
        <v>99.52</v>
      </c>
    </row>
    <row r="1118" spans="2:17" x14ac:dyDescent="0.2">
      <c r="B1118" s="18">
        <f t="shared" si="170"/>
        <v>623</v>
      </c>
      <c r="C1118" s="3"/>
      <c r="D1118" s="3"/>
      <c r="E1118" s="3"/>
      <c r="F1118" s="90"/>
      <c r="G1118" s="106"/>
      <c r="H1118" s="9" t="s">
        <v>635</v>
      </c>
      <c r="I1118" s="4"/>
      <c r="J1118" s="4"/>
      <c r="K1118" s="361"/>
      <c r="L1118" s="10">
        <v>10000</v>
      </c>
      <c r="M1118" s="10">
        <v>9952</v>
      </c>
      <c r="N1118" s="361">
        <f>M1118/L1118*100</f>
        <v>99.52</v>
      </c>
      <c r="O1118" s="108">
        <f t="shared" si="173"/>
        <v>10000</v>
      </c>
      <c r="P1118" s="108">
        <f t="shared" si="174"/>
        <v>9952</v>
      </c>
      <c r="Q1118" s="361">
        <f t="shared" si="175"/>
        <v>99.52</v>
      </c>
    </row>
    <row r="1119" spans="2:17" x14ac:dyDescent="0.2">
      <c r="B1119" s="18">
        <f t="shared" si="170"/>
        <v>624</v>
      </c>
      <c r="C1119" s="190"/>
      <c r="D1119" s="190"/>
      <c r="E1119" s="190" t="s">
        <v>81</v>
      </c>
      <c r="F1119" s="191"/>
      <c r="G1119" s="191"/>
      <c r="H1119" s="190" t="s">
        <v>525</v>
      </c>
      <c r="I1119" s="192">
        <f>I1126+I1122+I1121+I1120</f>
        <v>160299</v>
      </c>
      <c r="J1119" s="192">
        <f>J1126+J1122+J1121+J1120</f>
        <v>133782</v>
      </c>
      <c r="K1119" s="361">
        <f t="shared" ref="K1119:K1150" si="176">J1119/I1119*100</f>
        <v>83.457788258192494</v>
      </c>
      <c r="L1119" s="192"/>
      <c r="M1119" s="192"/>
      <c r="N1119" s="361"/>
      <c r="O1119" s="193">
        <f t="shared" si="173"/>
        <v>160299</v>
      </c>
      <c r="P1119" s="193">
        <f t="shared" si="174"/>
        <v>133782</v>
      </c>
      <c r="Q1119" s="361">
        <f t="shared" si="175"/>
        <v>83.457788258192494</v>
      </c>
    </row>
    <row r="1120" spans="2:17" x14ac:dyDescent="0.2">
      <c r="B1120" s="18">
        <f t="shared" si="170"/>
        <v>625</v>
      </c>
      <c r="C1120" s="3"/>
      <c r="D1120" s="3"/>
      <c r="E1120" s="3"/>
      <c r="F1120" s="90" t="s">
        <v>160</v>
      </c>
      <c r="G1120" s="2">
        <v>610</v>
      </c>
      <c r="H1120" s="3" t="s">
        <v>131</v>
      </c>
      <c r="I1120" s="4">
        <f>894+840+8490+44100</f>
        <v>54324</v>
      </c>
      <c r="J1120" s="4">
        <v>51957</v>
      </c>
      <c r="K1120" s="361">
        <f t="shared" si="176"/>
        <v>95.642809807819745</v>
      </c>
      <c r="L1120" s="4"/>
      <c r="M1120" s="4"/>
      <c r="N1120" s="361"/>
      <c r="O1120" s="92">
        <f t="shared" si="173"/>
        <v>54324</v>
      </c>
      <c r="P1120" s="92">
        <f t="shared" si="174"/>
        <v>51957</v>
      </c>
      <c r="Q1120" s="361">
        <f t="shared" si="175"/>
        <v>95.642809807819745</v>
      </c>
    </row>
    <row r="1121" spans="2:17" x14ac:dyDescent="0.2">
      <c r="B1121" s="18">
        <f t="shared" si="170"/>
        <v>626</v>
      </c>
      <c r="C1121" s="3"/>
      <c r="D1121" s="3"/>
      <c r="E1121" s="3"/>
      <c r="F1121" s="90" t="s">
        <v>160</v>
      </c>
      <c r="G1121" s="2">
        <v>620</v>
      </c>
      <c r="H1121" s="3" t="s">
        <v>124</v>
      </c>
      <c r="I1121" s="4">
        <f>2585+544+1633+1086+435+7619+762+5442</f>
        <v>20106</v>
      </c>
      <c r="J1121" s="4">
        <v>18361</v>
      </c>
      <c r="K1121" s="361">
        <f t="shared" si="176"/>
        <v>91.320998706853672</v>
      </c>
      <c r="L1121" s="4"/>
      <c r="M1121" s="4"/>
      <c r="N1121" s="361"/>
      <c r="O1121" s="92">
        <f t="shared" si="173"/>
        <v>20106</v>
      </c>
      <c r="P1121" s="92">
        <f t="shared" si="174"/>
        <v>18361</v>
      </c>
      <c r="Q1121" s="361">
        <f t="shared" si="175"/>
        <v>91.320998706853672</v>
      </c>
    </row>
    <row r="1122" spans="2:17" x14ac:dyDescent="0.2">
      <c r="B1122" s="18">
        <f t="shared" si="170"/>
        <v>627</v>
      </c>
      <c r="C1122" s="3"/>
      <c r="D1122" s="3"/>
      <c r="E1122" s="3"/>
      <c r="F1122" s="90" t="s">
        <v>160</v>
      </c>
      <c r="G1122" s="2">
        <v>630</v>
      </c>
      <c r="H1122" s="3" t="s">
        <v>121</v>
      </c>
      <c r="I1122" s="4">
        <f>I1125+I1124+I1123</f>
        <v>84277</v>
      </c>
      <c r="J1122" s="4">
        <f>J1125+J1124+J1123</f>
        <v>61971</v>
      </c>
      <c r="K1122" s="361">
        <f t="shared" si="176"/>
        <v>73.532517768786263</v>
      </c>
      <c r="L1122" s="4"/>
      <c r="M1122" s="4"/>
      <c r="N1122" s="361"/>
      <c r="O1122" s="92">
        <f t="shared" si="173"/>
        <v>84277</v>
      </c>
      <c r="P1122" s="92">
        <f t="shared" si="174"/>
        <v>61971</v>
      </c>
      <c r="Q1122" s="361">
        <f t="shared" si="175"/>
        <v>73.532517768786263</v>
      </c>
    </row>
    <row r="1123" spans="2:17" x14ac:dyDescent="0.2">
      <c r="B1123" s="18">
        <f t="shared" si="170"/>
        <v>628</v>
      </c>
      <c r="C1123" s="6"/>
      <c r="D1123" s="6"/>
      <c r="E1123" s="6"/>
      <c r="F1123" s="93"/>
      <c r="G1123" s="5">
        <v>633</v>
      </c>
      <c r="H1123" s="6" t="s">
        <v>125</v>
      </c>
      <c r="I1123" s="7">
        <f>200+250+500+59513+3500+2000+280+11731-1000-112</f>
        <v>76862</v>
      </c>
      <c r="J1123" s="7">
        <v>54869</v>
      </c>
      <c r="K1123" s="361">
        <f t="shared" si="176"/>
        <v>71.386380786344361</v>
      </c>
      <c r="L1123" s="7"/>
      <c r="M1123" s="7"/>
      <c r="N1123" s="361"/>
      <c r="O1123" s="95">
        <f t="shared" si="173"/>
        <v>76862</v>
      </c>
      <c r="P1123" s="95">
        <f t="shared" si="174"/>
        <v>54869</v>
      </c>
      <c r="Q1123" s="361">
        <f t="shared" si="175"/>
        <v>71.386380786344361</v>
      </c>
    </row>
    <row r="1124" spans="2:17" s="122" customFormat="1" x14ac:dyDescent="0.2">
      <c r="B1124" s="18">
        <f t="shared" si="170"/>
        <v>629</v>
      </c>
      <c r="C1124" s="6"/>
      <c r="D1124" s="6"/>
      <c r="E1124" s="6"/>
      <c r="F1124" s="93"/>
      <c r="G1124" s="5">
        <v>635</v>
      </c>
      <c r="H1124" s="6" t="s">
        <v>133</v>
      </c>
      <c r="I1124" s="7">
        <f>1000+2500+1500</f>
        <v>5000</v>
      </c>
      <c r="J1124" s="7">
        <v>5000</v>
      </c>
      <c r="K1124" s="361">
        <f t="shared" si="176"/>
        <v>100</v>
      </c>
      <c r="L1124" s="7"/>
      <c r="M1124" s="7"/>
      <c r="N1124" s="361"/>
      <c r="O1124" s="95">
        <f t="shared" si="173"/>
        <v>5000</v>
      </c>
      <c r="P1124" s="95">
        <f t="shared" si="174"/>
        <v>5000</v>
      </c>
      <c r="Q1124" s="361">
        <f t="shared" si="175"/>
        <v>100</v>
      </c>
    </row>
    <row r="1125" spans="2:17" s="122" customFormat="1" x14ac:dyDescent="0.2">
      <c r="B1125" s="18">
        <f t="shared" si="170"/>
        <v>630</v>
      </c>
      <c r="C1125" s="6"/>
      <c r="D1125" s="6"/>
      <c r="E1125" s="6"/>
      <c r="F1125" s="93"/>
      <c r="G1125" s="5">
        <v>637</v>
      </c>
      <c r="H1125" s="6" t="s">
        <v>122</v>
      </c>
      <c r="I1125" s="7">
        <f>100+815+1500</f>
        <v>2415</v>
      </c>
      <c r="J1125" s="7">
        <v>2102</v>
      </c>
      <c r="K1125" s="361">
        <f t="shared" si="176"/>
        <v>87.039337474120089</v>
      </c>
      <c r="L1125" s="7"/>
      <c r="M1125" s="7"/>
      <c r="N1125" s="361"/>
      <c r="O1125" s="95">
        <f t="shared" si="173"/>
        <v>2415</v>
      </c>
      <c r="P1125" s="95">
        <f t="shared" si="174"/>
        <v>2102</v>
      </c>
      <c r="Q1125" s="361">
        <f t="shared" si="175"/>
        <v>87.039337474120089</v>
      </c>
    </row>
    <row r="1126" spans="2:17" x14ac:dyDescent="0.2">
      <c r="B1126" s="18">
        <f t="shared" si="170"/>
        <v>631</v>
      </c>
      <c r="C1126" s="3"/>
      <c r="D1126" s="3"/>
      <c r="E1126" s="3"/>
      <c r="F1126" s="90" t="s">
        <v>160</v>
      </c>
      <c r="G1126" s="2">
        <v>640</v>
      </c>
      <c r="H1126" s="3" t="s">
        <v>129</v>
      </c>
      <c r="I1126" s="4">
        <f>450+1000+142</f>
        <v>1592</v>
      </c>
      <c r="J1126" s="4">
        <v>1493</v>
      </c>
      <c r="K1126" s="361">
        <f t="shared" si="176"/>
        <v>93.781407035175874</v>
      </c>
      <c r="L1126" s="4"/>
      <c r="M1126" s="4"/>
      <c r="N1126" s="361"/>
      <c r="O1126" s="92">
        <f t="shared" si="173"/>
        <v>1592</v>
      </c>
      <c r="P1126" s="92">
        <f t="shared" si="174"/>
        <v>1493</v>
      </c>
      <c r="Q1126" s="361">
        <f t="shared" si="175"/>
        <v>93.781407035175874</v>
      </c>
    </row>
    <row r="1127" spans="2:17" s="122" customFormat="1" x14ac:dyDescent="0.2">
      <c r="B1127" s="18">
        <f t="shared" si="170"/>
        <v>632</v>
      </c>
      <c r="C1127" s="190"/>
      <c r="D1127" s="190"/>
      <c r="E1127" s="190" t="s">
        <v>101</v>
      </c>
      <c r="F1127" s="191"/>
      <c r="G1127" s="191"/>
      <c r="H1127" s="190" t="s">
        <v>102</v>
      </c>
      <c r="I1127" s="192">
        <f>I1134+I1130+I1129+I1128</f>
        <v>93604</v>
      </c>
      <c r="J1127" s="192">
        <f>J1134+J1130+J1129+J1128</f>
        <v>74517</v>
      </c>
      <c r="K1127" s="361">
        <f t="shared" si="176"/>
        <v>79.608777402675102</v>
      </c>
      <c r="L1127" s="192"/>
      <c r="M1127" s="192"/>
      <c r="N1127" s="361"/>
      <c r="O1127" s="193">
        <f t="shared" si="173"/>
        <v>93604</v>
      </c>
      <c r="P1127" s="193">
        <f t="shared" si="174"/>
        <v>74517</v>
      </c>
      <c r="Q1127" s="361">
        <f t="shared" si="175"/>
        <v>79.608777402675102</v>
      </c>
    </row>
    <row r="1128" spans="2:17" s="122" customFormat="1" x14ac:dyDescent="0.2">
      <c r="B1128" s="18">
        <f t="shared" si="170"/>
        <v>633</v>
      </c>
      <c r="C1128" s="3"/>
      <c r="D1128" s="3"/>
      <c r="E1128" s="3"/>
      <c r="F1128" s="90" t="s">
        <v>160</v>
      </c>
      <c r="G1128" s="2">
        <v>610</v>
      </c>
      <c r="H1128" s="3" t="s">
        <v>131</v>
      </c>
      <c r="I1128" s="4">
        <f>810+600+4612+26259</f>
        <v>32281</v>
      </c>
      <c r="J1128" s="4">
        <v>30545</v>
      </c>
      <c r="K1128" s="361">
        <f t="shared" si="176"/>
        <v>94.622223599021098</v>
      </c>
      <c r="L1128" s="4"/>
      <c r="M1128" s="4"/>
      <c r="N1128" s="361"/>
      <c r="O1128" s="92">
        <f t="shared" si="173"/>
        <v>32281</v>
      </c>
      <c r="P1128" s="92">
        <f t="shared" si="174"/>
        <v>30545</v>
      </c>
      <c r="Q1128" s="361">
        <f t="shared" si="175"/>
        <v>94.622223599021098</v>
      </c>
    </row>
    <row r="1129" spans="2:17" s="122" customFormat="1" x14ac:dyDescent="0.2">
      <c r="B1129" s="18">
        <f t="shared" si="170"/>
        <v>634</v>
      </c>
      <c r="C1129" s="3"/>
      <c r="D1129" s="3"/>
      <c r="E1129" s="3"/>
      <c r="F1129" s="90" t="s">
        <v>160</v>
      </c>
      <c r="G1129" s="2">
        <v>620</v>
      </c>
      <c r="H1129" s="3" t="s">
        <v>124</v>
      </c>
      <c r="I1129" s="4">
        <f>1538+322+971+646+259+4533+453+3238</f>
        <v>11960</v>
      </c>
      <c r="J1129" s="4">
        <v>11354</v>
      </c>
      <c r="K1129" s="361">
        <f t="shared" si="176"/>
        <v>94.933110367892979</v>
      </c>
      <c r="L1129" s="4"/>
      <c r="M1129" s="4"/>
      <c r="N1129" s="361"/>
      <c r="O1129" s="92">
        <f t="shared" si="173"/>
        <v>11960</v>
      </c>
      <c r="P1129" s="92">
        <f t="shared" si="174"/>
        <v>11354</v>
      </c>
      <c r="Q1129" s="361">
        <f t="shared" si="175"/>
        <v>94.933110367892979</v>
      </c>
    </row>
    <row r="1130" spans="2:17" x14ac:dyDescent="0.2">
      <c r="B1130" s="18">
        <f t="shared" si="170"/>
        <v>635</v>
      </c>
      <c r="C1130" s="3"/>
      <c r="D1130" s="3"/>
      <c r="E1130" s="3"/>
      <c r="F1130" s="90" t="s">
        <v>160</v>
      </c>
      <c r="G1130" s="2">
        <v>630</v>
      </c>
      <c r="H1130" s="3" t="s">
        <v>121</v>
      </c>
      <c r="I1130" s="4">
        <f>I1133+I1132+I1131</f>
        <v>48913</v>
      </c>
      <c r="J1130" s="4">
        <f>J1133+J1132+J1131</f>
        <v>32169</v>
      </c>
      <c r="K1130" s="361">
        <f t="shared" si="176"/>
        <v>65.767791793592707</v>
      </c>
      <c r="L1130" s="4"/>
      <c r="M1130" s="4"/>
      <c r="N1130" s="361"/>
      <c r="O1130" s="92">
        <f t="shared" si="173"/>
        <v>48913</v>
      </c>
      <c r="P1130" s="92">
        <f t="shared" si="174"/>
        <v>32169</v>
      </c>
      <c r="Q1130" s="361">
        <f t="shared" si="175"/>
        <v>65.767791793592707</v>
      </c>
    </row>
    <row r="1131" spans="2:17" x14ac:dyDescent="0.2">
      <c r="B1131" s="18">
        <f t="shared" si="170"/>
        <v>636</v>
      </c>
      <c r="C1131" s="6"/>
      <c r="D1131" s="6"/>
      <c r="E1131" s="6"/>
      <c r="F1131" s="93"/>
      <c r="G1131" s="5">
        <v>633</v>
      </c>
      <c r="H1131" s="6" t="s">
        <v>125</v>
      </c>
      <c r="I1131" s="7">
        <f>100+2000+34818+1500+280+5865</f>
        <v>44563</v>
      </c>
      <c r="J1131" s="7">
        <v>29676</v>
      </c>
      <c r="K1131" s="361">
        <f t="shared" si="176"/>
        <v>66.593362206314652</v>
      </c>
      <c r="L1131" s="7"/>
      <c r="M1131" s="7"/>
      <c r="N1131" s="361"/>
      <c r="O1131" s="95">
        <f t="shared" si="173"/>
        <v>44563</v>
      </c>
      <c r="P1131" s="95">
        <f t="shared" si="174"/>
        <v>29676</v>
      </c>
      <c r="Q1131" s="361">
        <f t="shared" si="175"/>
        <v>66.593362206314652</v>
      </c>
    </row>
    <row r="1132" spans="2:17" x14ac:dyDescent="0.2">
      <c r="B1132" s="18">
        <f t="shared" si="170"/>
        <v>637</v>
      </c>
      <c r="C1132" s="6"/>
      <c r="D1132" s="6"/>
      <c r="E1132" s="6"/>
      <c r="F1132" s="93"/>
      <c r="G1132" s="5">
        <v>635</v>
      </c>
      <c r="H1132" s="6" t="s">
        <v>133</v>
      </c>
      <c r="I1132" s="7">
        <f>100+2900</f>
        <v>3000</v>
      </c>
      <c r="J1132" s="7">
        <v>1148</v>
      </c>
      <c r="K1132" s="361">
        <f t="shared" si="176"/>
        <v>38.266666666666666</v>
      </c>
      <c r="L1132" s="7"/>
      <c r="M1132" s="7"/>
      <c r="N1132" s="361"/>
      <c r="O1132" s="95">
        <f t="shared" si="173"/>
        <v>3000</v>
      </c>
      <c r="P1132" s="95">
        <f t="shared" si="174"/>
        <v>1148</v>
      </c>
      <c r="Q1132" s="361">
        <f t="shared" si="175"/>
        <v>38.266666666666666</v>
      </c>
    </row>
    <row r="1133" spans="2:17" x14ac:dyDescent="0.2">
      <c r="B1133" s="18">
        <f t="shared" si="170"/>
        <v>638</v>
      </c>
      <c r="C1133" s="6"/>
      <c r="D1133" s="6"/>
      <c r="E1133" s="6"/>
      <c r="F1133" s="93"/>
      <c r="G1133" s="5">
        <v>637</v>
      </c>
      <c r="H1133" s="6" t="s">
        <v>122</v>
      </c>
      <c r="I1133" s="7">
        <f>100+490+760</f>
        <v>1350</v>
      </c>
      <c r="J1133" s="7">
        <v>1345</v>
      </c>
      <c r="K1133" s="361">
        <f t="shared" si="176"/>
        <v>99.629629629629633</v>
      </c>
      <c r="L1133" s="7"/>
      <c r="M1133" s="7"/>
      <c r="N1133" s="361"/>
      <c r="O1133" s="95">
        <f t="shared" si="173"/>
        <v>1350</v>
      </c>
      <c r="P1133" s="95">
        <f t="shared" si="174"/>
        <v>1345</v>
      </c>
      <c r="Q1133" s="361">
        <f t="shared" si="175"/>
        <v>99.629629629629633</v>
      </c>
    </row>
    <row r="1134" spans="2:17" x14ac:dyDescent="0.2">
      <c r="B1134" s="18">
        <f t="shared" si="170"/>
        <v>639</v>
      </c>
      <c r="C1134" s="3"/>
      <c r="D1134" s="3"/>
      <c r="E1134" s="3"/>
      <c r="F1134" s="90" t="s">
        <v>160</v>
      </c>
      <c r="G1134" s="2">
        <v>640</v>
      </c>
      <c r="H1134" s="3" t="s">
        <v>129</v>
      </c>
      <c r="I1134" s="4">
        <v>450</v>
      </c>
      <c r="J1134" s="4">
        <v>449</v>
      </c>
      <c r="K1134" s="361">
        <f t="shared" si="176"/>
        <v>99.777777777777771</v>
      </c>
      <c r="L1134" s="4"/>
      <c r="M1134" s="4"/>
      <c r="N1134" s="361"/>
      <c r="O1134" s="92">
        <f t="shared" si="173"/>
        <v>450</v>
      </c>
      <c r="P1134" s="92">
        <f t="shared" si="174"/>
        <v>449</v>
      </c>
      <c r="Q1134" s="361">
        <f t="shared" si="175"/>
        <v>99.777777777777771</v>
      </c>
    </row>
    <row r="1135" spans="2:17" x14ac:dyDescent="0.2">
      <c r="B1135" s="18">
        <f t="shared" si="170"/>
        <v>640</v>
      </c>
      <c r="C1135" s="190"/>
      <c r="D1135" s="190"/>
      <c r="E1135" s="190" t="s">
        <v>100</v>
      </c>
      <c r="F1135" s="191"/>
      <c r="G1135" s="191"/>
      <c r="H1135" s="190" t="s">
        <v>60</v>
      </c>
      <c r="I1135" s="192">
        <f>I1142+I1138+I1137+I1136</f>
        <v>135505</v>
      </c>
      <c r="J1135" s="192">
        <f>J1142+J1138+J1137+J1136</f>
        <v>111143</v>
      </c>
      <c r="K1135" s="361">
        <f t="shared" si="176"/>
        <v>82.021327626286862</v>
      </c>
      <c r="L1135" s="192"/>
      <c r="M1135" s="192"/>
      <c r="N1135" s="361"/>
      <c r="O1135" s="193">
        <f t="shared" si="173"/>
        <v>135505</v>
      </c>
      <c r="P1135" s="193">
        <f t="shared" si="174"/>
        <v>111143</v>
      </c>
      <c r="Q1135" s="361">
        <f t="shared" si="175"/>
        <v>82.021327626286862</v>
      </c>
    </row>
    <row r="1136" spans="2:17" x14ac:dyDescent="0.2">
      <c r="B1136" s="18">
        <f t="shared" si="170"/>
        <v>641</v>
      </c>
      <c r="C1136" s="3"/>
      <c r="D1136" s="3"/>
      <c r="E1136" s="3"/>
      <c r="F1136" s="90" t="s">
        <v>160</v>
      </c>
      <c r="G1136" s="2">
        <v>610</v>
      </c>
      <c r="H1136" s="3" t="s">
        <v>131</v>
      </c>
      <c r="I1136" s="4">
        <f>768+480+6050+35052</f>
        <v>42350</v>
      </c>
      <c r="J1136" s="4">
        <v>41918</v>
      </c>
      <c r="K1136" s="361">
        <f t="shared" si="176"/>
        <v>98.97992916174735</v>
      </c>
      <c r="L1136" s="4"/>
      <c r="M1136" s="4"/>
      <c r="N1136" s="361"/>
      <c r="O1136" s="92">
        <f t="shared" si="173"/>
        <v>42350</v>
      </c>
      <c r="P1136" s="92">
        <f t="shared" si="174"/>
        <v>41918</v>
      </c>
      <c r="Q1136" s="361">
        <f t="shared" si="175"/>
        <v>98.97992916174735</v>
      </c>
    </row>
    <row r="1137" spans="2:17" x14ac:dyDescent="0.2">
      <c r="B1137" s="18">
        <f t="shared" ref="B1137:B1200" si="177">B1136+1</f>
        <v>642</v>
      </c>
      <c r="C1137" s="3"/>
      <c r="D1137" s="3"/>
      <c r="E1137" s="3"/>
      <c r="F1137" s="90" t="s">
        <v>160</v>
      </c>
      <c r="G1137" s="2">
        <v>620</v>
      </c>
      <c r="H1137" s="3" t="s">
        <v>124</v>
      </c>
      <c r="I1137" s="4">
        <f>2097+442+1325+847+353+6181+618+4415</f>
        <v>16278</v>
      </c>
      <c r="J1137" s="4">
        <v>14835</v>
      </c>
      <c r="K1137" s="361">
        <f t="shared" si="176"/>
        <v>91.135274603759669</v>
      </c>
      <c r="L1137" s="4"/>
      <c r="M1137" s="4"/>
      <c r="N1137" s="361"/>
      <c r="O1137" s="92">
        <f t="shared" si="173"/>
        <v>16278</v>
      </c>
      <c r="P1137" s="92">
        <f t="shared" si="174"/>
        <v>14835</v>
      </c>
      <c r="Q1137" s="361">
        <f t="shared" si="175"/>
        <v>91.135274603759669</v>
      </c>
    </row>
    <row r="1138" spans="2:17" x14ac:dyDescent="0.2">
      <c r="B1138" s="18">
        <f t="shared" si="177"/>
        <v>643</v>
      </c>
      <c r="C1138" s="3"/>
      <c r="D1138" s="3"/>
      <c r="E1138" s="3"/>
      <c r="F1138" s="90" t="s">
        <v>160</v>
      </c>
      <c r="G1138" s="2">
        <v>630</v>
      </c>
      <c r="H1138" s="3" t="s">
        <v>121</v>
      </c>
      <c r="I1138" s="4">
        <f>I1141+I1140+I1139</f>
        <v>76424</v>
      </c>
      <c r="J1138" s="4">
        <f>J1141+J1140+J1139</f>
        <v>54180</v>
      </c>
      <c r="K1138" s="361">
        <f t="shared" si="176"/>
        <v>70.893960012561493</v>
      </c>
      <c r="L1138" s="4"/>
      <c r="M1138" s="4"/>
      <c r="N1138" s="361"/>
      <c r="O1138" s="92">
        <f t="shared" si="173"/>
        <v>76424</v>
      </c>
      <c r="P1138" s="92">
        <f t="shared" si="174"/>
        <v>54180</v>
      </c>
      <c r="Q1138" s="361">
        <f t="shared" si="175"/>
        <v>70.893960012561493</v>
      </c>
    </row>
    <row r="1139" spans="2:17" x14ac:dyDescent="0.2">
      <c r="B1139" s="18">
        <f t="shared" si="177"/>
        <v>644</v>
      </c>
      <c r="C1139" s="6"/>
      <c r="D1139" s="6"/>
      <c r="E1139" s="6"/>
      <c r="F1139" s="93"/>
      <c r="G1139" s="5">
        <v>633</v>
      </c>
      <c r="H1139" s="6" t="s">
        <v>125</v>
      </c>
      <c r="I1139" s="7">
        <f>50+54287+4450+2000+10805+280-3</f>
        <v>71869</v>
      </c>
      <c r="J1139" s="7">
        <v>52124</v>
      </c>
      <c r="K1139" s="361">
        <f t="shared" si="176"/>
        <v>72.526402204010083</v>
      </c>
      <c r="L1139" s="7"/>
      <c r="M1139" s="7"/>
      <c r="N1139" s="361"/>
      <c r="O1139" s="95">
        <f t="shared" si="173"/>
        <v>71869</v>
      </c>
      <c r="P1139" s="95">
        <f t="shared" si="174"/>
        <v>52124</v>
      </c>
      <c r="Q1139" s="361">
        <f t="shared" si="175"/>
        <v>72.526402204010083</v>
      </c>
    </row>
    <row r="1140" spans="2:17" x14ac:dyDescent="0.2">
      <c r="B1140" s="18">
        <f t="shared" si="177"/>
        <v>645</v>
      </c>
      <c r="C1140" s="6"/>
      <c r="D1140" s="6"/>
      <c r="E1140" s="6"/>
      <c r="F1140" s="93"/>
      <c r="G1140" s="5">
        <v>635</v>
      </c>
      <c r="H1140" s="6" t="s">
        <v>133</v>
      </c>
      <c r="I1140" s="7">
        <f>500+2500</f>
        <v>3000</v>
      </c>
      <c r="J1140" s="7">
        <v>550</v>
      </c>
      <c r="K1140" s="361">
        <f t="shared" si="176"/>
        <v>18.333333333333332</v>
      </c>
      <c r="L1140" s="7"/>
      <c r="M1140" s="7"/>
      <c r="N1140" s="361"/>
      <c r="O1140" s="95">
        <f t="shared" si="173"/>
        <v>3000</v>
      </c>
      <c r="P1140" s="95">
        <f t="shared" si="174"/>
        <v>550</v>
      </c>
      <c r="Q1140" s="361">
        <f t="shared" si="175"/>
        <v>18.333333333333332</v>
      </c>
    </row>
    <row r="1141" spans="2:17" x14ac:dyDescent="0.2">
      <c r="B1141" s="18">
        <f t="shared" si="177"/>
        <v>646</v>
      </c>
      <c r="C1141" s="6"/>
      <c r="D1141" s="6"/>
      <c r="E1141" s="6"/>
      <c r="F1141" s="93"/>
      <c r="G1141" s="5">
        <v>637</v>
      </c>
      <c r="H1141" s="6" t="s">
        <v>122</v>
      </c>
      <c r="I1141" s="7">
        <f>635+920</f>
        <v>1555</v>
      </c>
      <c r="J1141" s="7">
        <v>1506</v>
      </c>
      <c r="K1141" s="361">
        <f t="shared" si="176"/>
        <v>96.848874598070751</v>
      </c>
      <c r="L1141" s="7"/>
      <c r="M1141" s="7"/>
      <c r="N1141" s="361"/>
      <c r="O1141" s="95">
        <f t="shared" si="173"/>
        <v>1555</v>
      </c>
      <c r="P1141" s="95">
        <f t="shared" si="174"/>
        <v>1506</v>
      </c>
      <c r="Q1141" s="361">
        <f t="shared" si="175"/>
        <v>96.848874598070751</v>
      </c>
    </row>
    <row r="1142" spans="2:17" x14ac:dyDescent="0.2">
      <c r="B1142" s="18">
        <f t="shared" si="177"/>
        <v>647</v>
      </c>
      <c r="C1142" s="3"/>
      <c r="D1142" s="3"/>
      <c r="E1142" s="3"/>
      <c r="F1142" s="90" t="s">
        <v>160</v>
      </c>
      <c r="G1142" s="2">
        <v>640</v>
      </c>
      <c r="H1142" s="3" t="s">
        <v>129</v>
      </c>
      <c r="I1142" s="4">
        <f>450+1802-1799</f>
        <v>453</v>
      </c>
      <c r="J1142" s="4">
        <v>210</v>
      </c>
      <c r="K1142" s="361">
        <f t="shared" si="176"/>
        <v>46.357615894039732</v>
      </c>
      <c r="L1142" s="4"/>
      <c r="M1142" s="4"/>
      <c r="N1142" s="361"/>
      <c r="O1142" s="92">
        <f t="shared" si="173"/>
        <v>453</v>
      </c>
      <c r="P1142" s="92">
        <f t="shared" si="174"/>
        <v>210</v>
      </c>
      <c r="Q1142" s="361">
        <f t="shared" si="175"/>
        <v>46.357615894039732</v>
      </c>
    </row>
    <row r="1143" spans="2:17" x14ac:dyDescent="0.2">
      <c r="B1143" s="18">
        <f t="shared" si="177"/>
        <v>648</v>
      </c>
      <c r="C1143" s="190"/>
      <c r="D1143" s="190"/>
      <c r="E1143" s="190" t="s">
        <v>96</v>
      </c>
      <c r="F1143" s="191"/>
      <c r="G1143" s="191"/>
      <c r="H1143" s="190" t="s">
        <v>66</v>
      </c>
      <c r="I1143" s="192">
        <f>I1150+I1146+I1145+I1144</f>
        <v>139077</v>
      </c>
      <c r="J1143" s="192">
        <f>J1150+J1146+J1145+J1144</f>
        <v>119360</v>
      </c>
      <c r="K1143" s="361">
        <f t="shared" si="176"/>
        <v>85.822961381105429</v>
      </c>
      <c r="L1143" s="192"/>
      <c r="M1143" s="192"/>
      <c r="N1143" s="361"/>
      <c r="O1143" s="193">
        <f t="shared" si="173"/>
        <v>139077</v>
      </c>
      <c r="P1143" s="193">
        <f t="shared" si="174"/>
        <v>119360</v>
      </c>
      <c r="Q1143" s="361">
        <f t="shared" si="175"/>
        <v>85.822961381105429</v>
      </c>
    </row>
    <row r="1144" spans="2:17" x14ac:dyDescent="0.2">
      <c r="B1144" s="18">
        <f t="shared" si="177"/>
        <v>649</v>
      </c>
      <c r="C1144" s="3"/>
      <c r="D1144" s="3"/>
      <c r="E1144" s="3"/>
      <c r="F1144" s="90" t="s">
        <v>160</v>
      </c>
      <c r="G1144" s="2">
        <v>610</v>
      </c>
      <c r="H1144" s="3" t="s">
        <v>131</v>
      </c>
      <c r="I1144" s="4">
        <f>768+480+6919+35262</f>
        <v>43429</v>
      </c>
      <c r="J1144" s="4">
        <v>42789</v>
      </c>
      <c r="K1144" s="361">
        <f t="shared" si="176"/>
        <v>98.526330332266454</v>
      </c>
      <c r="L1144" s="4"/>
      <c r="M1144" s="4"/>
      <c r="N1144" s="361"/>
      <c r="O1144" s="92">
        <f t="shared" si="173"/>
        <v>43429</v>
      </c>
      <c r="P1144" s="92">
        <f t="shared" si="174"/>
        <v>42789</v>
      </c>
      <c r="Q1144" s="361">
        <f t="shared" si="175"/>
        <v>98.526330332266454</v>
      </c>
    </row>
    <row r="1145" spans="2:17" x14ac:dyDescent="0.2">
      <c r="B1145" s="18">
        <f t="shared" si="177"/>
        <v>650</v>
      </c>
      <c r="C1145" s="3"/>
      <c r="D1145" s="3"/>
      <c r="E1145" s="3"/>
      <c r="F1145" s="90" t="s">
        <v>160</v>
      </c>
      <c r="G1145" s="2">
        <v>620</v>
      </c>
      <c r="H1145" s="3" t="s">
        <v>124</v>
      </c>
      <c r="I1145" s="4">
        <f>2068+434+1306+869+348+6094+609+4353</f>
        <v>16081</v>
      </c>
      <c r="J1145" s="4">
        <v>16080</v>
      </c>
      <c r="K1145" s="361">
        <f t="shared" si="176"/>
        <v>99.993781481251162</v>
      </c>
      <c r="L1145" s="4"/>
      <c r="M1145" s="4"/>
      <c r="N1145" s="361"/>
      <c r="O1145" s="92">
        <f t="shared" si="173"/>
        <v>16081</v>
      </c>
      <c r="P1145" s="92">
        <f t="shared" si="174"/>
        <v>16080</v>
      </c>
      <c r="Q1145" s="361">
        <f t="shared" si="175"/>
        <v>99.993781481251162</v>
      </c>
    </row>
    <row r="1146" spans="2:17" x14ac:dyDescent="0.2">
      <c r="B1146" s="18">
        <f t="shared" si="177"/>
        <v>651</v>
      </c>
      <c r="C1146" s="3"/>
      <c r="D1146" s="3"/>
      <c r="E1146" s="3"/>
      <c r="F1146" s="90" t="s">
        <v>160</v>
      </c>
      <c r="G1146" s="2">
        <v>630</v>
      </c>
      <c r="H1146" s="3" t="s">
        <v>121</v>
      </c>
      <c r="I1146" s="4">
        <f>I1149+I1148+I1147</f>
        <v>76839</v>
      </c>
      <c r="J1146" s="4">
        <f>J1149+J1148+J1147</f>
        <v>57934</v>
      </c>
      <c r="K1146" s="361">
        <f t="shared" si="176"/>
        <v>75.396608493082937</v>
      </c>
      <c r="L1146" s="4"/>
      <c r="M1146" s="4"/>
      <c r="N1146" s="361"/>
      <c r="O1146" s="92">
        <f t="shared" si="173"/>
        <v>76839</v>
      </c>
      <c r="P1146" s="92">
        <f t="shared" si="174"/>
        <v>57934</v>
      </c>
      <c r="Q1146" s="361">
        <f t="shared" si="175"/>
        <v>75.396608493082937</v>
      </c>
    </row>
    <row r="1147" spans="2:17" x14ac:dyDescent="0.2">
      <c r="B1147" s="18">
        <f t="shared" si="177"/>
        <v>652</v>
      </c>
      <c r="C1147" s="6"/>
      <c r="D1147" s="6"/>
      <c r="E1147" s="6"/>
      <c r="F1147" s="93"/>
      <c r="G1147" s="5">
        <v>633</v>
      </c>
      <c r="H1147" s="6" t="s">
        <v>125</v>
      </c>
      <c r="I1147" s="7">
        <f>900+100+53493+2200+280+14509+172</f>
        <v>71654</v>
      </c>
      <c r="J1147" s="7">
        <v>54143</v>
      </c>
      <c r="K1147" s="361">
        <f t="shared" si="176"/>
        <v>75.56172718899154</v>
      </c>
      <c r="L1147" s="7"/>
      <c r="M1147" s="7"/>
      <c r="N1147" s="361"/>
      <c r="O1147" s="95">
        <f t="shared" si="173"/>
        <v>71654</v>
      </c>
      <c r="P1147" s="95">
        <f t="shared" si="174"/>
        <v>54143</v>
      </c>
      <c r="Q1147" s="361">
        <f t="shared" si="175"/>
        <v>75.56172718899154</v>
      </c>
    </row>
    <row r="1148" spans="2:17" x14ac:dyDescent="0.2">
      <c r="B1148" s="18">
        <f t="shared" si="177"/>
        <v>653</v>
      </c>
      <c r="C1148" s="6"/>
      <c r="D1148" s="6"/>
      <c r="E1148" s="6"/>
      <c r="F1148" s="93"/>
      <c r="G1148" s="5">
        <v>635</v>
      </c>
      <c r="H1148" s="6" t="s">
        <v>133</v>
      </c>
      <c r="I1148" s="7">
        <f>100+2400-400</f>
        <v>2100</v>
      </c>
      <c r="J1148" s="7">
        <v>2045</v>
      </c>
      <c r="K1148" s="361">
        <f t="shared" si="176"/>
        <v>97.38095238095238</v>
      </c>
      <c r="L1148" s="7"/>
      <c r="M1148" s="7"/>
      <c r="N1148" s="361"/>
      <c r="O1148" s="95">
        <f t="shared" si="173"/>
        <v>2100</v>
      </c>
      <c r="P1148" s="95">
        <f t="shared" si="174"/>
        <v>2045</v>
      </c>
      <c r="Q1148" s="361">
        <f t="shared" si="175"/>
        <v>97.38095238095238</v>
      </c>
    </row>
    <row r="1149" spans="2:17" x14ac:dyDescent="0.2">
      <c r="B1149" s="18">
        <f t="shared" si="177"/>
        <v>654</v>
      </c>
      <c r="C1149" s="6"/>
      <c r="D1149" s="6"/>
      <c r="E1149" s="6"/>
      <c r="F1149" s="93"/>
      <c r="G1149" s="5">
        <v>637</v>
      </c>
      <c r="H1149" s="6" t="s">
        <v>122</v>
      </c>
      <c r="I1149" s="7">
        <f>652+103+2330</f>
        <v>3085</v>
      </c>
      <c r="J1149" s="7">
        <v>1746</v>
      </c>
      <c r="K1149" s="361">
        <f t="shared" si="176"/>
        <v>56.596434359805514</v>
      </c>
      <c r="L1149" s="7"/>
      <c r="M1149" s="7"/>
      <c r="N1149" s="361"/>
      <c r="O1149" s="95">
        <f t="shared" si="173"/>
        <v>3085</v>
      </c>
      <c r="P1149" s="95">
        <f t="shared" si="174"/>
        <v>1746</v>
      </c>
      <c r="Q1149" s="361">
        <f t="shared" si="175"/>
        <v>56.596434359805514</v>
      </c>
    </row>
    <row r="1150" spans="2:17" x14ac:dyDescent="0.2">
      <c r="B1150" s="18">
        <f t="shared" si="177"/>
        <v>655</v>
      </c>
      <c r="C1150" s="3"/>
      <c r="D1150" s="3"/>
      <c r="E1150" s="3"/>
      <c r="F1150" s="90" t="s">
        <v>160</v>
      </c>
      <c r="G1150" s="2">
        <v>640</v>
      </c>
      <c r="H1150" s="3" t="s">
        <v>129</v>
      </c>
      <c r="I1150" s="4">
        <f>450+2000+278</f>
        <v>2728</v>
      </c>
      <c r="J1150" s="4">
        <v>2557</v>
      </c>
      <c r="K1150" s="361">
        <f t="shared" si="176"/>
        <v>93.731671554252188</v>
      </c>
      <c r="L1150" s="4"/>
      <c r="M1150" s="4"/>
      <c r="N1150" s="361"/>
      <c r="O1150" s="92">
        <f t="shared" si="173"/>
        <v>2728</v>
      </c>
      <c r="P1150" s="92">
        <f t="shared" si="174"/>
        <v>2557</v>
      </c>
      <c r="Q1150" s="361">
        <f t="shared" si="175"/>
        <v>93.731671554252188</v>
      </c>
    </row>
    <row r="1151" spans="2:17" x14ac:dyDescent="0.2">
      <c r="B1151" s="18">
        <f t="shared" si="177"/>
        <v>656</v>
      </c>
      <c r="C1151" s="190"/>
      <c r="D1151" s="190"/>
      <c r="E1151" s="190" t="s">
        <v>99</v>
      </c>
      <c r="F1151" s="191"/>
      <c r="G1151" s="191"/>
      <c r="H1151" s="190" t="s">
        <v>67</v>
      </c>
      <c r="I1151" s="192">
        <f>I1158+I1154+I1153+I1152</f>
        <v>119050</v>
      </c>
      <c r="J1151" s="192">
        <f>J1158+J1154+J1153+J1152</f>
        <v>106670</v>
      </c>
      <c r="K1151" s="361">
        <f t="shared" ref="K1151:K1182" si="178">J1151/I1151*100</f>
        <v>89.601007979840404</v>
      </c>
      <c r="L1151" s="192"/>
      <c r="M1151" s="192"/>
      <c r="N1151" s="361"/>
      <c r="O1151" s="193">
        <f t="shared" si="173"/>
        <v>119050</v>
      </c>
      <c r="P1151" s="193">
        <f t="shared" si="174"/>
        <v>106670</v>
      </c>
      <c r="Q1151" s="361">
        <f t="shared" si="175"/>
        <v>89.601007979840404</v>
      </c>
    </row>
    <row r="1152" spans="2:17" x14ac:dyDescent="0.2">
      <c r="B1152" s="18">
        <f t="shared" si="177"/>
        <v>657</v>
      </c>
      <c r="C1152" s="3"/>
      <c r="D1152" s="3"/>
      <c r="E1152" s="3"/>
      <c r="F1152" s="90" t="s">
        <v>160</v>
      </c>
      <c r="G1152" s="2">
        <v>610</v>
      </c>
      <c r="H1152" s="3" t="s">
        <v>131</v>
      </c>
      <c r="I1152" s="4">
        <f>810+600+6349+36681</f>
        <v>44440</v>
      </c>
      <c r="J1152" s="4">
        <v>44022</v>
      </c>
      <c r="K1152" s="361">
        <f t="shared" si="178"/>
        <v>99.059405940594061</v>
      </c>
      <c r="L1152" s="4"/>
      <c r="M1152" s="4"/>
      <c r="N1152" s="361"/>
      <c r="O1152" s="92">
        <f t="shared" si="173"/>
        <v>44440</v>
      </c>
      <c r="P1152" s="92">
        <f t="shared" si="174"/>
        <v>44022</v>
      </c>
      <c r="Q1152" s="361">
        <f t="shared" si="175"/>
        <v>99.059405940594061</v>
      </c>
    </row>
    <row r="1153" spans="2:17" x14ac:dyDescent="0.2">
      <c r="B1153" s="18">
        <f t="shared" si="177"/>
        <v>658</v>
      </c>
      <c r="C1153" s="3"/>
      <c r="D1153" s="3"/>
      <c r="E1153" s="3"/>
      <c r="F1153" s="90" t="s">
        <v>160</v>
      </c>
      <c r="G1153" s="2">
        <v>620</v>
      </c>
      <c r="H1153" s="3" t="s">
        <v>124</v>
      </c>
      <c r="I1153" s="4">
        <f>2116+444+1336+889+356+6236+624+4454</f>
        <v>16455</v>
      </c>
      <c r="J1153" s="4">
        <v>16336</v>
      </c>
      <c r="K1153" s="361">
        <f t="shared" si="178"/>
        <v>99.276815557581273</v>
      </c>
      <c r="L1153" s="4"/>
      <c r="M1153" s="4"/>
      <c r="N1153" s="361"/>
      <c r="O1153" s="92">
        <f t="shared" si="173"/>
        <v>16455</v>
      </c>
      <c r="P1153" s="92">
        <f t="shared" si="174"/>
        <v>16336</v>
      </c>
      <c r="Q1153" s="361">
        <f t="shared" si="175"/>
        <v>99.276815557581273</v>
      </c>
    </row>
    <row r="1154" spans="2:17" x14ac:dyDescent="0.2">
      <c r="B1154" s="18">
        <f t="shared" si="177"/>
        <v>659</v>
      </c>
      <c r="C1154" s="3"/>
      <c r="D1154" s="3"/>
      <c r="E1154" s="3"/>
      <c r="F1154" s="90" t="s">
        <v>160</v>
      </c>
      <c r="G1154" s="2">
        <v>630</v>
      </c>
      <c r="H1154" s="3" t="s">
        <v>121</v>
      </c>
      <c r="I1154" s="4">
        <f>I1157+I1156+I1155</f>
        <v>57405</v>
      </c>
      <c r="J1154" s="4">
        <f>J1157+J1156+J1155</f>
        <v>45937</v>
      </c>
      <c r="K1154" s="361">
        <f t="shared" si="178"/>
        <v>80.022646110965951</v>
      </c>
      <c r="L1154" s="4"/>
      <c r="M1154" s="4"/>
      <c r="N1154" s="361"/>
      <c r="O1154" s="92">
        <f t="shared" si="173"/>
        <v>57405</v>
      </c>
      <c r="P1154" s="92">
        <f t="shared" si="174"/>
        <v>45937</v>
      </c>
      <c r="Q1154" s="361">
        <f t="shared" si="175"/>
        <v>80.022646110965951</v>
      </c>
    </row>
    <row r="1155" spans="2:17" s="122" customFormat="1" x14ac:dyDescent="0.2">
      <c r="B1155" s="18">
        <f t="shared" si="177"/>
        <v>660</v>
      </c>
      <c r="C1155" s="6"/>
      <c r="D1155" s="6"/>
      <c r="E1155" s="6"/>
      <c r="F1155" s="93"/>
      <c r="G1155" s="5">
        <v>633</v>
      </c>
      <c r="H1155" s="6" t="s">
        <v>125</v>
      </c>
      <c r="I1155" s="7">
        <f>150+1000+42094+1800+200+6791+280+500</f>
        <v>52815</v>
      </c>
      <c r="J1155" s="7">
        <v>42120</v>
      </c>
      <c r="K1155" s="361">
        <f t="shared" si="178"/>
        <v>79.750071002556083</v>
      </c>
      <c r="L1155" s="7"/>
      <c r="M1155" s="7"/>
      <c r="N1155" s="361"/>
      <c r="O1155" s="95">
        <f t="shared" si="173"/>
        <v>52815</v>
      </c>
      <c r="P1155" s="95">
        <f t="shared" si="174"/>
        <v>42120</v>
      </c>
      <c r="Q1155" s="361">
        <f t="shared" si="175"/>
        <v>79.750071002556083</v>
      </c>
    </row>
    <row r="1156" spans="2:17" x14ac:dyDescent="0.2">
      <c r="B1156" s="18">
        <f t="shared" si="177"/>
        <v>661</v>
      </c>
      <c r="C1156" s="6"/>
      <c r="D1156" s="6"/>
      <c r="E1156" s="6"/>
      <c r="F1156" s="93"/>
      <c r="G1156" s="5">
        <v>635</v>
      </c>
      <c r="H1156" s="6" t="s">
        <v>133</v>
      </c>
      <c r="I1156" s="7">
        <f>2500+1000-500</f>
        <v>3000</v>
      </c>
      <c r="J1156" s="7">
        <v>2381</v>
      </c>
      <c r="K1156" s="361">
        <f t="shared" si="178"/>
        <v>79.36666666666666</v>
      </c>
      <c r="L1156" s="7"/>
      <c r="M1156" s="7"/>
      <c r="N1156" s="361"/>
      <c r="O1156" s="95">
        <f t="shared" si="173"/>
        <v>3000</v>
      </c>
      <c r="P1156" s="95">
        <f t="shared" si="174"/>
        <v>2381</v>
      </c>
      <c r="Q1156" s="361">
        <f t="shared" si="175"/>
        <v>79.36666666666666</v>
      </c>
    </row>
    <row r="1157" spans="2:17" s="122" customFormat="1" x14ac:dyDescent="0.2">
      <c r="B1157" s="18">
        <f t="shared" si="177"/>
        <v>662</v>
      </c>
      <c r="C1157" s="6"/>
      <c r="D1157" s="6"/>
      <c r="E1157" s="6"/>
      <c r="F1157" s="93"/>
      <c r="G1157" s="5">
        <v>637</v>
      </c>
      <c r="H1157" s="6" t="s">
        <v>122</v>
      </c>
      <c r="I1157" s="7">
        <f>100+670+820</f>
        <v>1590</v>
      </c>
      <c r="J1157" s="7">
        <v>1436</v>
      </c>
      <c r="K1157" s="361">
        <f t="shared" si="178"/>
        <v>90.314465408805034</v>
      </c>
      <c r="L1157" s="7"/>
      <c r="M1157" s="7"/>
      <c r="N1157" s="361"/>
      <c r="O1157" s="95">
        <f t="shared" si="173"/>
        <v>1590</v>
      </c>
      <c r="P1157" s="95">
        <f t="shared" si="174"/>
        <v>1436</v>
      </c>
      <c r="Q1157" s="361">
        <f t="shared" si="175"/>
        <v>90.314465408805034</v>
      </c>
    </row>
    <row r="1158" spans="2:17" s="122" customFormat="1" x14ac:dyDescent="0.2">
      <c r="B1158" s="18">
        <f t="shared" si="177"/>
        <v>663</v>
      </c>
      <c r="C1158" s="3"/>
      <c r="D1158" s="3"/>
      <c r="E1158" s="3"/>
      <c r="F1158" s="90" t="s">
        <v>160</v>
      </c>
      <c r="G1158" s="2">
        <v>640</v>
      </c>
      <c r="H1158" s="3" t="s">
        <v>129</v>
      </c>
      <c r="I1158" s="4">
        <f>450+300</f>
        <v>750</v>
      </c>
      <c r="J1158" s="4">
        <v>375</v>
      </c>
      <c r="K1158" s="361">
        <f t="shared" si="178"/>
        <v>50</v>
      </c>
      <c r="L1158" s="4"/>
      <c r="M1158" s="4"/>
      <c r="N1158" s="361"/>
      <c r="O1158" s="92">
        <f t="shared" si="173"/>
        <v>750</v>
      </c>
      <c r="P1158" s="92">
        <f t="shared" si="174"/>
        <v>375</v>
      </c>
      <c r="Q1158" s="361">
        <f t="shared" si="175"/>
        <v>50</v>
      </c>
    </row>
    <row r="1159" spans="2:17" s="122" customFormat="1" x14ac:dyDescent="0.2">
      <c r="B1159" s="18">
        <f t="shared" si="177"/>
        <v>664</v>
      </c>
      <c r="C1159" s="190"/>
      <c r="D1159" s="190"/>
      <c r="E1159" s="190" t="s">
        <v>92</v>
      </c>
      <c r="F1159" s="191"/>
      <c r="G1159" s="191"/>
      <c r="H1159" s="190" t="s">
        <v>93</v>
      </c>
      <c r="I1159" s="192">
        <f>I1166+I1162+I1161+I1160</f>
        <v>58221</v>
      </c>
      <c r="J1159" s="192">
        <f>J1166+J1162+J1161+J1160</f>
        <v>47405</v>
      </c>
      <c r="K1159" s="361">
        <f t="shared" si="178"/>
        <v>81.422510777898012</v>
      </c>
      <c r="L1159" s="192"/>
      <c r="M1159" s="192"/>
      <c r="N1159" s="361"/>
      <c r="O1159" s="193">
        <f t="shared" si="173"/>
        <v>58221</v>
      </c>
      <c r="P1159" s="193">
        <f t="shared" si="174"/>
        <v>47405</v>
      </c>
      <c r="Q1159" s="361">
        <f t="shared" si="175"/>
        <v>81.422510777898012</v>
      </c>
    </row>
    <row r="1160" spans="2:17" s="122" customFormat="1" x14ac:dyDescent="0.2">
      <c r="B1160" s="18">
        <f t="shared" si="177"/>
        <v>665</v>
      </c>
      <c r="C1160" s="3"/>
      <c r="D1160" s="3"/>
      <c r="E1160" s="3"/>
      <c r="F1160" s="90" t="s">
        <v>160</v>
      </c>
      <c r="G1160" s="2">
        <v>610</v>
      </c>
      <c r="H1160" s="3" t="s">
        <v>131</v>
      </c>
      <c r="I1160" s="4">
        <f>726+360+3321+18840-244</f>
        <v>23003</v>
      </c>
      <c r="J1160" s="4">
        <v>20278</v>
      </c>
      <c r="K1160" s="361">
        <f t="shared" si="178"/>
        <v>88.153719080119984</v>
      </c>
      <c r="L1160" s="4"/>
      <c r="M1160" s="4"/>
      <c r="N1160" s="361"/>
      <c r="O1160" s="92">
        <f t="shared" si="173"/>
        <v>23003</v>
      </c>
      <c r="P1160" s="92">
        <f t="shared" si="174"/>
        <v>20278</v>
      </c>
      <c r="Q1160" s="361">
        <f t="shared" si="175"/>
        <v>88.153719080119984</v>
      </c>
    </row>
    <row r="1161" spans="2:17" x14ac:dyDescent="0.2">
      <c r="B1161" s="18">
        <f t="shared" si="177"/>
        <v>666</v>
      </c>
      <c r="C1161" s="3"/>
      <c r="D1161" s="3"/>
      <c r="E1161" s="3"/>
      <c r="F1161" s="90" t="s">
        <v>160</v>
      </c>
      <c r="G1161" s="2">
        <v>620</v>
      </c>
      <c r="H1161" s="3" t="s">
        <v>124</v>
      </c>
      <c r="I1161" s="4">
        <f>1195+250+754+465+201+3521+352+2515</f>
        <v>9253</v>
      </c>
      <c r="J1161" s="4">
        <v>8193</v>
      </c>
      <c r="K1161" s="361">
        <f t="shared" si="178"/>
        <v>88.544255916999887</v>
      </c>
      <c r="L1161" s="4"/>
      <c r="M1161" s="4"/>
      <c r="N1161" s="361"/>
      <c r="O1161" s="92">
        <f t="shared" si="173"/>
        <v>9253</v>
      </c>
      <c r="P1161" s="92">
        <f t="shared" si="174"/>
        <v>8193</v>
      </c>
      <c r="Q1161" s="361">
        <f t="shared" si="175"/>
        <v>88.544255916999887</v>
      </c>
    </row>
    <row r="1162" spans="2:17" x14ac:dyDescent="0.2">
      <c r="B1162" s="18">
        <f t="shared" si="177"/>
        <v>667</v>
      </c>
      <c r="C1162" s="3"/>
      <c r="D1162" s="3"/>
      <c r="E1162" s="3"/>
      <c r="F1162" s="90" t="s">
        <v>160</v>
      </c>
      <c r="G1162" s="2">
        <v>630</v>
      </c>
      <c r="H1162" s="3" t="s">
        <v>121</v>
      </c>
      <c r="I1162" s="4">
        <f>I1165+I1164+I1163</f>
        <v>25126</v>
      </c>
      <c r="J1162" s="4">
        <f>J1165+J1164+J1163</f>
        <v>18555</v>
      </c>
      <c r="K1162" s="361">
        <f t="shared" si="178"/>
        <v>73.847807052455622</v>
      </c>
      <c r="L1162" s="4"/>
      <c r="M1162" s="4"/>
      <c r="N1162" s="361"/>
      <c r="O1162" s="92">
        <f t="shared" si="173"/>
        <v>25126</v>
      </c>
      <c r="P1162" s="92">
        <f t="shared" si="174"/>
        <v>18555</v>
      </c>
      <c r="Q1162" s="361">
        <f t="shared" si="175"/>
        <v>73.847807052455622</v>
      </c>
    </row>
    <row r="1163" spans="2:17" x14ac:dyDescent="0.2">
      <c r="B1163" s="18">
        <f t="shared" si="177"/>
        <v>668</v>
      </c>
      <c r="C1163" s="6"/>
      <c r="D1163" s="6"/>
      <c r="E1163" s="6"/>
      <c r="F1163" s="93"/>
      <c r="G1163" s="5">
        <v>633</v>
      </c>
      <c r="H1163" s="6" t="s">
        <v>125</v>
      </c>
      <c r="I1163" s="7">
        <f>200+100+16515+1200+1800+3396+280-115</f>
        <v>23376</v>
      </c>
      <c r="J1163" s="7">
        <v>17448</v>
      </c>
      <c r="K1163" s="361">
        <f t="shared" si="178"/>
        <v>74.640657084188916</v>
      </c>
      <c r="L1163" s="7"/>
      <c r="M1163" s="7"/>
      <c r="N1163" s="361"/>
      <c r="O1163" s="95">
        <f t="shared" si="173"/>
        <v>23376</v>
      </c>
      <c r="P1163" s="95">
        <f t="shared" si="174"/>
        <v>17448</v>
      </c>
      <c r="Q1163" s="361">
        <f t="shared" si="175"/>
        <v>74.640657084188916</v>
      </c>
    </row>
    <row r="1164" spans="2:17" x14ac:dyDescent="0.2">
      <c r="B1164" s="18">
        <f t="shared" si="177"/>
        <v>669</v>
      </c>
      <c r="C1164" s="6"/>
      <c r="D1164" s="6"/>
      <c r="E1164" s="6"/>
      <c r="F1164" s="93"/>
      <c r="G1164" s="5">
        <v>635</v>
      </c>
      <c r="H1164" s="6" t="s">
        <v>133</v>
      </c>
      <c r="I1164" s="7">
        <f>800-500</f>
        <v>300</v>
      </c>
      <c r="J1164" s="7">
        <v>154</v>
      </c>
      <c r="K1164" s="361">
        <f t="shared" si="178"/>
        <v>51.333333333333329</v>
      </c>
      <c r="L1164" s="7"/>
      <c r="M1164" s="7"/>
      <c r="N1164" s="361"/>
      <c r="O1164" s="95">
        <f t="shared" si="173"/>
        <v>300</v>
      </c>
      <c r="P1164" s="95">
        <f t="shared" si="174"/>
        <v>154</v>
      </c>
      <c r="Q1164" s="361">
        <f t="shared" si="175"/>
        <v>51.333333333333329</v>
      </c>
    </row>
    <row r="1165" spans="2:17" x14ac:dyDescent="0.2">
      <c r="B1165" s="18">
        <f t="shared" si="177"/>
        <v>670</v>
      </c>
      <c r="C1165" s="6"/>
      <c r="D1165" s="6"/>
      <c r="E1165" s="6"/>
      <c r="F1165" s="93"/>
      <c r="G1165" s="5">
        <v>637</v>
      </c>
      <c r="H1165" s="6" t="s">
        <v>122</v>
      </c>
      <c r="I1165" s="7">
        <f>350+100+1000</f>
        <v>1450</v>
      </c>
      <c r="J1165" s="7">
        <v>953</v>
      </c>
      <c r="K1165" s="361">
        <f t="shared" si="178"/>
        <v>65.724137931034491</v>
      </c>
      <c r="L1165" s="7"/>
      <c r="M1165" s="7"/>
      <c r="N1165" s="361"/>
      <c r="O1165" s="95">
        <f t="shared" si="173"/>
        <v>1450</v>
      </c>
      <c r="P1165" s="95">
        <f t="shared" si="174"/>
        <v>953</v>
      </c>
      <c r="Q1165" s="361">
        <f t="shared" si="175"/>
        <v>65.724137931034491</v>
      </c>
    </row>
    <row r="1166" spans="2:17" x14ac:dyDescent="0.2">
      <c r="B1166" s="18">
        <f t="shared" si="177"/>
        <v>671</v>
      </c>
      <c r="C1166" s="3"/>
      <c r="D1166" s="3"/>
      <c r="E1166" s="3"/>
      <c r="F1166" s="90" t="s">
        <v>160</v>
      </c>
      <c r="G1166" s="2">
        <v>640</v>
      </c>
      <c r="H1166" s="3" t="s">
        <v>129</v>
      </c>
      <c r="I1166" s="4">
        <f>450+1802-1558+145</f>
        <v>839</v>
      </c>
      <c r="J1166" s="4">
        <v>379</v>
      </c>
      <c r="K1166" s="361">
        <f t="shared" si="178"/>
        <v>45.17282479141835</v>
      </c>
      <c r="L1166" s="4"/>
      <c r="M1166" s="4"/>
      <c r="N1166" s="361"/>
      <c r="O1166" s="92">
        <f t="shared" si="173"/>
        <v>839</v>
      </c>
      <c r="P1166" s="92">
        <f t="shared" si="174"/>
        <v>379</v>
      </c>
      <c r="Q1166" s="361">
        <f t="shared" si="175"/>
        <v>45.17282479141835</v>
      </c>
    </row>
    <row r="1167" spans="2:17" x14ac:dyDescent="0.2">
      <c r="B1167" s="18">
        <f t="shared" si="177"/>
        <v>672</v>
      </c>
      <c r="C1167" s="190"/>
      <c r="D1167" s="190"/>
      <c r="E1167" s="190" t="s">
        <v>87</v>
      </c>
      <c r="F1167" s="191"/>
      <c r="G1167" s="191"/>
      <c r="H1167" s="190" t="s">
        <v>196</v>
      </c>
      <c r="I1167" s="192">
        <f>I1174+I1170+I1169+I1168</f>
        <v>73099</v>
      </c>
      <c r="J1167" s="192">
        <f>J1174+J1170+J1169+J1168</f>
        <v>58012</v>
      </c>
      <c r="K1167" s="361">
        <f t="shared" si="178"/>
        <v>79.360866769723245</v>
      </c>
      <c r="L1167" s="192"/>
      <c r="M1167" s="192"/>
      <c r="N1167" s="361"/>
      <c r="O1167" s="193">
        <f t="shared" si="173"/>
        <v>73099</v>
      </c>
      <c r="P1167" s="193">
        <f t="shared" si="174"/>
        <v>58012</v>
      </c>
      <c r="Q1167" s="361">
        <f t="shared" si="175"/>
        <v>79.360866769723245</v>
      </c>
    </row>
    <row r="1168" spans="2:17" x14ac:dyDescent="0.2">
      <c r="B1168" s="18">
        <f t="shared" si="177"/>
        <v>673</v>
      </c>
      <c r="C1168" s="3"/>
      <c r="D1168" s="3"/>
      <c r="E1168" s="3"/>
      <c r="F1168" s="90" t="s">
        <v>160</v>
      </c>
      <c r="G1168" s="2">
        <v>610</v>
      </c>
      <c r="H1168" s="3" t="s">
        <v>131</v>
      </c>
      <c r="I1168" s="4">
        <f>684+240+3926+22632</f>
        <v>27482</v>
      </c>
      <c r="J1168" s="4">
        <v>24557</v>
      </c>
      <c r="K1168" s="361">
        <f t="shared" si="178"/>
        <v>89.356669820245983</v>
      </c>
      <c r="L1168" s="4"/>
      <c r="M1168" s="4"/>
      <c r="N1168" s="361"/>
      <c r="O1168" s="92">
        <f t="shared" si="173"/>
        <v>27482</v>
      </c>
      <c r="P1168" s="92">
        <f t="shared" si="174"/>
        <v>24557</v>
      </c>
      <c r="Q1168" s="361">
        <f t="shared" si="175"/>
        <v>89.356669820245983</v>
      </c>
    </row>
    <row r="1169" spans="2:17" x14ac:dyDescent="0.2">
      <c r="B1169" s="18">
        <f t="shared" si="177"/>
        <v>674</v>
      </c>
      <c r="C1169" s="3"/>
      <c r="D1169" s="3"/>
      <c r="E1169" s="3"/>
      <c r="F1169" s="90" t="s">
        <v>160</v>
      </c>
      <c r="G1169" s="2">
        <v>620</v>
      </c>
      <c r="H1169" s="3" t="s">
        <v>124</v>
      </c>
      <c r="I1169" s="4">
        <v>11368</v>
      </c>
      <c r="J1169" s="4">
        <v>9115</v>
      </c>
      <c r="K1169" s="361">
        <f t="shared" si="178"/>
        <v>80.181210415200567</v>
      </c>
      <c r="L1169" s="4"/>
      <c r="M1169" s="4"/>
      <c r="N1169" s="361"/>
      <c r="O1169" s="92">
        <f t="shared" si="173"/>
        <v>11368</v>
      </c>
      <c r="P1169" s="92">
        <f t="shared" si="174"/>
        <v>9115</v>
      </c>
      <c r="Q1169" s="361">
        <f t="shared" si="175"/>
        <v>80.181210415200567</v>
      </c>
    </row>
    <row r="1170" spans="2:17" x14ac:dyDescent="0.2">
      <c r="B1170" s="18">
        <f t="shared" si="177"/>
        <v>675</v>
      </c>
      <c r="C1170" s="3"/>
      <c r="D1170" s="3"/>
      <c r="E1170" s="3"/>
      <c r="F1170" s="90" t="s">
        <v>160</v>
      </c>
      <c r="G1170" s="2">
        <v>630</v>
      </c>
      <c r="H1170" s="3" t="s">
        <v>121</v>
      </c>
      <c r="I1170" s="4">
        <f>I1173+I1172+I1171</f>
        <v>31070</v>
      </c>
      <c r="J1170" s="4">
        <f>J1173+J1172+J1171</f>
        <v>22493</v>
      </c>
      <c r="K1170" s="361">
        <f t="shared" si="178"/>
        <v>72.394592854843893</v>
      </c>
      <c r="L1170" s="4"/>
      <c r="M1170" s="4"/>
      <c r="N1170" s="361"/>
      <c r="O1170" s="92">
        <f t="shared" si="173"/>
        <v>31070</v>
      </c>
      <c r="P1170" s="92">
        <f t="shared" si="174"/>
        <v>22493</v>
      </c>
      <c r="Q1170" s="361">
        <f t="shared" si="175"/>
        <v>72.394592854843893</v>
      </c>
    </row>
    <row r="1171" spans="2:17" x14ac:dyDescent="0.2">
      <c r="B1171" s="18">
        <f t="shared" si="177"/>
        <v>676</v>
      </c>
      <c r="C1171" s="6"/>
      <c r="D1171" s="6"/>
      <c r="E1171" s="6"/>
      <c r="F1171" s="93"/>
      <c r="G1171" s="5">
        <v>633</v>
      </c>
      <c r="H1171" s="6" t="s">
        <v>125</v>
      </c>
      <c r="I1171" s="7">
        <f>100+16802+2900+6483+280-10</f>
        <v>26555</v>
      </c>
      <c r="J1171" s="7">
        <v>19151</v>
      </c>
      <c r="K1171" s="361">
        <f t="shared" si="178"/>
        <v>72.118245151572211</v>
      </c>
      <c r="L1171" s="7"/>
      <c r="M1171" s="7"/>
      <c r="N1171" s="361"/>
      <c r="O1171" s="95">
        <f t="shared" si="173"/>
        <v>26555</v>
      </c>
      <c r="P1171" s="95">
        <f t="shared" si="174"/>
        <v>19151</v>
      </c>
      <c r="Q1171" s="361">
        <f t="shared" si="175"/>
        <v>72.118245151572211</v>
      </c>
    </row>
    <row r="1172" spans="2:17" x14ac:dyDescent="0.2">
      <c r="B1172" s="18">
        <f t="shared" si="177"/>
        <v>677</v>
      </c>
      <c r="C1172" s="6"/>
      <c r="D1172" s="6"/>
      <c r="E1172" s="6"/>
      <c r="F1172" s="93"/>
      <c r="G1172" s="5">
        <v>635</v>
      </c>
      <c r="H1172" s="6" t="s">
        <v>133</v>
      </c>
      <c r="I1172" s="7">
        <f>500+2500</f>
        <v>3000</v>
      </c>
      <c r="J1172" s="7">
        <v>2271</v>
      </c>
      <c r="K1172" s="361">
        <f t="shared" si="178"/>
        <v>75.7</v>
      </c>
      <c r="L1172" s="7"/>
      <c r="M1172" s="7"/>
      <c r="N1172" s="361"/>
      <c r="O1172" s="95">
        <f t="shared" si="173"/>
        <v>3000</v>
      </c>
      <c r="P1172" s="95">
        <f t="shared" si="174"/>
        <v>2271</v>
      </c>
      <c r="Q1172" s="361">
        <f t="shared" si="175"/>
        <v>75.7</v>
      </c>
    </row>
    <row r="1173" spans="2:17" x14ac:dyDescent="0.2">
      <c r="B1173" s="18">
        <f t="shared" si="177"/>
        <v>678</v>
      </c>
      <c r="C1173" s="6"/>
      <c r="D1173" s="6"/>
      <c r="E1173" s="6"/>
      <c r="F1173" s="93"/>
      <c r="G1173" s="5">
        <v>637</v>
      </c>
      <c r="H1173" s="6" t="s">
        <v>122</v>
      </c>
      <c r="I1173" s="7">
        <f>415+1100</f>
        <v>1515</v>
      </c>
      <c r="J1173" s="7">
        <v>1071</v>
      </c>
      <c r="K1173" s="361">
        <f t="shared" si="178"/>
        <v>70.693069306930695</v>
      </c>
      <c r="L1173" s="7"/>
      <c r="M1173" s="7"/>
      <c r="N1173" s="361"/>
      <c r="O1173" s="95">
        <f t="shared" si="173"/>
        <v>1515</v>
      </c>
      <c r="P1173" s="95">
        <f t="shared" si="174"/>
        <v>1071</v>
      </c>
      <c r="Q1173" s="361">
        <f t="shared" si="175"/>
        <v>70.693069306930695</v>
      </c>
    </row>
    <row r="1174" spans="2:17" x14ac:dyDescent="0.2">
      <c r="B1174" s="18">
        <f t="shared" si="177"/>
        <v>679</v>
      </c>
      <c r="C1174" s="3"/>
      <c r="D1174" s="3"/>
      <c r="E1174" s="3"/>
      <c r="F1174" s="90" t="s">
        <v>160</v>
      </c>
      <c r="G1174" s="2">
        <v>640</v>
      </c>
      <c r="H1174" s="3" t="s">
        <v>129</v>
      </c>
      <c r="I1174" s="4">
        <f>450+3469+10-750</f>
        <v>3179</v>
      </c>
      <c r="J1174" s="4">
        <v>1847</v>
      </c>
      <c r="K1174" s="361">
        <f t="shared" si="178"/>
        <v>58.100031456432845</v>
      </c>
      <c r="L1174" s="4"/>
      <c r="M1174" s="4"/>
      <c r="N1174" s="361"/>
      <c r="O1174" s="92">
        <f t="shared" si="173"/>
        <v>3179</v>
      </c>
      <c r="P1174" s="92">
        <f t="shared" si="174"/>
        <v>1847</v>
      </c>
      <c r="Q1174" s="361">
        <f t="shared" si="175"/>
        <v>58.100031456432845</v>
      </c>
    </row>
    <row r="1175" spans="2:17" x14ac:dyDescent="0.2">
      <c r="B1175" s="18">
        <f t="shared" si="177"/>
        <v>680</v>
      </c>
      <c r="C1175" s="190"/>
      <c r="D1175" s="190"/>
      <c r="E1175" s="190" t="s">
        <v>88</v>
      </c>
      <c r="F1175" s="191"/>
      <c r="G1175" s="191"/>
      <c r="H1175" s="190" t="s">
        <v>89</v>
      </c>
      <c r="I1175" s="192">
        <f>I1183+I1178+I1177+I1176</f>
        <v>169857</v>
      </c>
      <c r="J1175" s="192">
        <f>J1183+J1178+J1177+J1176</f>
        <v>135878</v>
      </c>
      <c r="K1175" s="361">
        <f t="shared" si="178"/>
        <v>79.995525648045117</v>
      </c>
      <c r="L1175" s="192"/>
      <c r="M1175" s="192"/>
      <c r="N1175" s="361"/>
      <c r="O1175" s="193">
        <f t="shared" si="173"/>
        <v>169857</v>
      </c>
      <c r="P1175" s="193">
        <f t="shared" si="174"/>
        <v>135878</v>
      </c>
      <c r="Q1175" s="361">
        <f t="shared" si="175"/>
        <v>79.995525648045117</v>
      </c>
    </row>
    <row r="1176" spans="2:17" x14ac:dyDescent="0.2">
      <c r="B1176" s="18">
        <f t="shared" si="177"/>
        <v>681</v>
      </c>
      <c r="C1176" s="3"/>
      <c r="D1176" s="3"/>
      <c r="E1176" s="3"/>
      <c r="F1176" s="90" t="s">
        <v>160</v>
      </c>
      <c r="G1176" s="2">
        <v>610</v>
      </c>
      <c r="H1176" s="3" t="s">
        <v>131</v>
      </c>
      <c r="I1176" s="4">
        <f>810+600+7981+46473</f>
        <v>55864</v>
      </c>
      <c r="J1176" s="4">
        <v>51095</v>
      </c>
      <c r="K1176" s="361">
        <f t="shared" si="178"/>
        <v>91.463196333953888</v>
      </c>
      <c r="L1176" s="4"/>
      <c r="M1176" s="4"/>
      <c r="N1176" s="361"/>
      <c r="O1176" s="92">
        <f t="shared" ref="O1176:O1239" si="179">I1176+L1176</f>
        <v>55864</v>
      </c>
      <c r="P1176" s="92">
        <f t="shared" ref="P1176:P1239" si="180">J1176+M1176</f>
        <v>51095</v>
      </c>
      <c r="Q1176" s="361">
        <f t="shared" si="175"/>
        <v>91.463196333953888</v>
      </c>
    </row>
    <row r="1177" spans="2:17" x14ac:dyDescent="0.2">
      <c r="B1177" s="18">
        <f t="shared" si="177"/>
        <v>682</v>
      </c>
      <c r="C1177" s="3"/>
      <c r="D1177" s="3"/>
      <c r="E1177" s="3"/>
      <c r="F1177" s="90" t="s">
        <v>160</v>
      </c>
      <c r="G1177" s="2">
        <v>620</v>
      </c>
      <c r="H1177" s="3" t="s">
        <v>124</v>
      </c>
      <c r="I1177" s="4">
        <v>21566</v>
      </c>
      <c r="J1177" s="4">
        <v>20116</v>
      </c>
      <c r="K1177" s="361">
        <f t="shared" si="178"/>
        <v>93.276453677084305</v>
      </c>
      <c r="L1177" s="4"/>
      <c r="M1177" s="4"/>
      <c r="N1177" s="361"/>
      <c r="O1177" s="92">
        <f t="shared" si="179"/>
        <v>21566</v>
      </c>
      <c r="P1177" s="92">
        <f t="shared" si="180"/>
        <v>20116</v>
      </c>
      <c r="Q1177" s="361">
        <f t="shared" si="175"/>
        <v>93.276453677084305</v>
      </c>
    </row>
    <row r="1178" spans="2:17" x14ac:dyDescent="0.2">
      <c r="B1178" s="18">
        <f t="shared" si="177"/>
        <v>683</v>
      </c>
      <c r="C1178" s="3"/>
      <c r="D1178" s="3"/>
      <c r="E1178" s="3"/>
      <c r="F1178" s="90" t="s">
        <v>160</v>
      </c>
      <c r="G1178" s="2">
        <v>630</v>
      </c>
      <c r="H1178" s="3" t="s">
        <v>121</v>
      </c>
      <c r="I1178" s="4">
        <f>I1182+I1181+I1180+I1179</f>
        <v>90154</v>
      </c>
      <c r="J1178" s="4">
        <f>J1182+J1181+J1180+J1179</f>
        <v>62808</v>
      </c>
      <c r="K1178" s="361">
        <f t="shared" si="178"/>
        <v>69.667457905361942</v>
      </c>
      <c r="L1178" s="4"/>
      <c r="M1178" s="4"/>
      <c r="N1178" s="361"/>
      <c r="O1178" s="92">
        <f t="shared" si="179"/>
        <v>90154</v>
      </c>
      <c r="P1178" s="92">
        <f t="shared" si="180"/>
        <v>62808</v>
      </c>
      <c r="Q1178" s="361">
        <f t="shared" ref="Q1178:Q1241" si="181">P1178/O1178*100</f>
        <v>69.667457905361942</v>
      </c>
    </row>
    <row r="1179" spans="2:17" x14ac:dyDescent="0.2">
      <c r="B1179" s="18">
        <f t="shared" si="177"/>
        <v>684</v>
      </c>
      <c r="C1179" s="6"/>
      <c r="D1179" s="6"/>
      <c r="E1179" s="6"/>
      <c r="F1179" s="93"/>
      <c r="G1179" s="5">
        <v>632</v>
      </c>
      <c r="H1179" s="6" t="s">
        <v>134</v>
      </c>
      <c r="I1179" s="7">
        <v>1310</v>
      </c>
      <c r="J1179" s="7">
        <v>649</v>
      </c>
      <c r="K1179" s="361">
        <f t="shared" si="178"/>
        <v>49.541984732824432</v>
      </c>
      <c r="L1179" s="7"/>
      <c r="M1179" s="7"/>
      <c r="N1179" s="361"/>
      <c r="O1179" s="95">
        <f t="shared" si="179"/>
        <v>1310</v>
      </c>
      <c r="P1179" s="95">
        <f t="shared" si="180"/>
        <v>649</v>
      </c>
      <c r="Q1179" s="361">
        <f t="shared" si="181"/>
        <v>49.541984732824432</v>
      </c>
    </row>
    <row r="1180" spans="2:17" x14ac:dyDescent="0.2">
      <c r="B1180" s="18">
        <f t="shared" si="177"/>
        <v>685</v>
      </c>
      <c r="C1180" s="6"/>
      <c r="D1180" s="6"/>
      <c r="E1180" s="6"/>
      <c r="F1180" s="93"/>
      <c r="G1180" s="5">
        <v>633</v>
      </c>
      <c r="H1180" s="6" t="s">
        <v>125</v>
      </c>
      <c r="I1180" s="7">
        <f>500+500+62556+2720+9878+280</f>
        <v>76434</v>
      </c>
      <c r="J1180" s="7">
        <v>52289</v>
      </c>
      <c r="K1180" s="361">
        <f t="shared" si="178"/>
        <v>68.410654944134805</v>
      </c>
      <c r="L1180" s="7"/>
      <c r="M1180" s="7"/>
      <c r="N1180" s="361"/>
      <c r="O1180" s="95">
        <f t="shared" si="179"/>
        <v>76434</v>
      </c>
      <c r="P1180" s="95">
        <f t="shared" si="180"/>
        <v>52289</v>
      </c>
      <c r="Q1180" s="361">
        <f t="shared" si="181"/>
        <v>68.410654944134805</v>
      </c>
    </row>
    <row r="1181" spans="2:17" x14ac:dyDescent="0.2">
      <c r="B1181" s="18">
        <f t="shared" si="177"/>
        <v>686</v>
      </c>
      <c r="C1181" s="6"/>
      <c r="D1181" s="6"/>
      <c r="E1181" s="6"/>
      <c r="F1181" s="93"/>
      <c r="G1181" s="5">
        <v>635</v>
      </c>
      <c r="H1181" s="6" t="s">
        <v>133</v>
      </c>
      <c r="I1181" s="7">
        <f>500+5500</f>
        <v>6000</v>
      </c>
      <c r="J1181" s="7">
        <v>4340</v>
      </c>
      <c r="K1181" s="361">
        <f t="shared" si="178"/>
        <v>72.333333333333343</v>
      </c>
      <c r="L1181" s="7"/>
      <c r="M1181" s="7"/>
      <c r="N1181" s="361"/>
      <c r="O1181" s="95">
        <f t="shared" si="179"/>
        <v>6000</v>
      </c>
      <c r="P1181" s="95">
        <f t="shared" si="180"/>
        <v>4340</v>
      </c>
      <c r="Q1181" s="361">
        <f t="shared" si="181"/>
        <v>72.333333333333343</v>
      </c>
    </row>
    <row r="1182" spans="2:17" x14ac:dyDescent="0.2">
      <c r="B1182" s="18">
        <f t="shared" si="177"/>
        <v>687</v>
      </c>
      <c r="C1182" s="6"/>
      <c r="D1182" s="6"/>
      <c r="E1182" s="6"/>
      <c r="F1182" s="93"/>
      <c r="G1182" s="5">
        <v>637</v>
      </c>
      <c r="H1182" s="6" t="s">
        <v>122</v>
      </c>
      <c r="I1182" s="7">
        <f>838+1500+984+1550+18+720+800</f>
        <v>6410</v>
      </c>
      <c r="J1182" s="7">
        <v>5530</v>
      </c>
      <c r="K1182" s="361">
        <f t="shared" si="178"/>
        <v>86.271450858034328</v>
      </c>
      <c r="L1182" s="7"/>
      <c r="M1182" s="7"/>
      <c r="N1182" s="361"/>
      <c r="O1182" s="95">
        <f t="shared" si="179"/>
        <v>6410</v>
      </c>
      <c r="P1182" s="95">
        <f t="shared" si="180"/>
        <v>5530</v>
      </c>
      <c r="Q1182" s="361">
        <f t="shared" si="181"/>
        <v>86.271450858034328</v>
      </c>
    </row>
    <row r="1183" spans="2:17" s="122" customFormat="1" x14ac:dyDescent="0.2">
      <c r="B1183" s="18">
        <f t="shared" si="177"/>
        <v>688</v>
      </c>
      <c r="C1183" s="3"/>
      <c r="D1183" s="3"/>
      <c r="E1183" s="3"/>
      <c r="F1183" s="90" t="s">
        <v>160</v>
      </c>
      <c r="G1183" s="2">
        <v>640</v>
      </c>
      <c r="H1183" s="3" t="s">
        <v>129</v>
      </c>
      <c r="I1183" s="4">
        <f>450+1143+650+30</f>
        <v>2273</v>
      </c>
      <c r="J1183" s="4">
        <v>1859</v>
      </c>
      <c r="K1183" s="361">
        <f t="shared" ref="K1183:K1201" si="182">J1183/I1183*100</f>
        <v>81.786185657721077</v>
      </c>
      <c r="L1183" s="4"/>
      <c r="M1183" s="4"/>
      <c r="N1183" s="361"/>
      <c r="O1183" s="92">
        <f t="shared" si="179"/>
        <v>2273</v>
      </c>
      <c r="P1183" s="92">
        <f t="shared" si="180"/>
        <v>1859</v>
      </c>
      <c r="Q1183" s="361">
        <f t="shared" si="181"/>
        <v>81.786185657721077</v>
      </c>
    </row>
    <row r="1184" spans="2:17" s="122" customFormat="1" ht="15" x14ac:dyDescent="0.25">
      <c r="B1184" s="18">
        <f t="shared" si="177"/>
        <v>689</v>
      </c>
      <c r="C1184" s="176"/>
      <c r="D1184" s="176"/>
      <c r="E1184" s="176">
        <v>6</v>
      </c>
      <c r="F1184" s="177"/>
      <c r="G1184" s="177"/>
      <c r="H1184" s="176" t="s">
        <v>284</v>
      </c>
      <c r="I1184" s="178">
        <f>I1185+I1186+I1187+I1192+I1193+I1194+I1195+I1200+I1201</f>
        <v>409748</v>
      </c>
      <c r="J1184" s="178">
        <f>J1185+J1186+J1187+J1192+J1193+J1194+J1195+J1200+J1201</f>
        <v>339389</v>
      </c>
      <c r="K1184" s="361">
        <f t="shared" si="182"/>
        <v>82.828714234114628</v>
      </c>
      <c r="L1184" s="178">
        <f>L1202</f>
        <v>11704</v>
      </c>
      <c r="M1184" s="178">
        <f>M1202</f>
        <v>11704</v>
      </c>
      <c r="N1184" s="361">
        <f>M1184/L1184*100</f>
        <v>100</v>
      </c>
      <c r="O1184" s="179">
        <f t="shared" si="179"/>
        <v>421452</v>
      </c>
      <c r="P1184" s="179">
        <f t="shared" si="180"/>
        <v>351093</v>
      </c>
      <c r="Q1184" s="361">
        <f t="shared" si="181"/>
        <v>83.305572164801688</v>
      </c>
    </row>
    <row r="1185" spans="2:17" s="122" customFormat="1" x14ac:dyDescent="0.2">
      <c r="B1185" s="18">
        <f t="shared" si="177"/>
        <v>690</v>
      </c>
      <c r="C1185" s="3"/>
      <c r="D1185" s="3"/>
      <c r="E1185" s="3"/>
      <c r="F1185" s="90" t="s">
        <v>79</v>
      </c>
      <c r="G1185" s="2">
        <v>610</v>
      </c>
      <c r="H1185" s="3" t="s">
        <v>131</v>
      </c>
      <c r="I1185" s="4">
        <f>2000+7000+32982+6420+1124+5639+1614</f>
        <v>56779</v>
      </c>
      <c r="J1185" s="4">
        <v>56043</v>
      </c>
      <c r="K1185" s="361">
        <f t="shared" si="182"/>
        <v>98.703746103312838</v>
      </c>
      <c r="L1185" s="4"/>
      <c r="M1185" s="4"/>
      <c r="N1185" s="361"/>
      <c r="O1185" s="92">
        <f t="shared" si="179"/>
        <v>56779</v>
      </c>
      <c r="P1185" s="92">
        <f t="shared" si="180"/>
        <v>56043</v>
      </c>
      <c r="Q1185" s="361">
        <f t="shared" si="181"/>
        <v>98.703746103312838</v>
      </c>
    </row>
    <row r="1186" spans="2:17" s="122" customFormat="1" x14ac:dyDescent="0.2">
      <c r="B1186" s="18">
        <f t="shared" si="177"/>
        <v>691</v>
      </c>
      <c r="C1186" s="3"/>
      <c r="D1186" s="3"/>
      <c r="E1186" s="3"/>
      <c r="F1186" s="90" t="s">
        <v>79</v>
      </c>
      <c r="G1186" s="2">
        <v>620</v>
      </c>
      <c r="H1186" s="3" t="s">
        <v>124</v>
      </c>
      <c r="I1186" s="4">
        <f>18822-1124+2027+580</f>
        <v>20305</v>
      </c>
      <c r="J1186" s="4">
        <v>20041</v>
      </c>
      <c r="K1186" s="361">
        <f t="shared" si="182"/>
        <v>98.699827628662888</v>
      </c>
      <c r="L1186" s="4"/>
      <c r="M1186" s="4"/>
      <c r="N1186" s="361"/>
      <c r="O1186" s="92">
        <f t="shared" si="179"/>
        <v>20305</v>
      </c>
      <c r="P1186" s="92">
        <f t="shared" si="180"/>
        <v>20041</v>
      </c>
      <c r="Q1186" s="361">
        <f t="shared" si="181"/>
        <v>98.699827628662888</v>
      </c>
    </row>
    <row r="1187" spans="2:17" s="122" customFormat="1" x14ac:dyDescent="0.2">
      <c r="B1187" s="18">
        <f t="shared" si="177"/>
        <v>692</v>
      </c>
      <c r="C1187" s="3"/>
      <c r="D1187" s="3"/>
      <c r="E1187" s="3"/>
      <c r="F1187" s="90" t="s">
        <v>79</v>
      </c>
      <c r="G1187" s="2">
        <v>630</v>
      </c>
      <c r="H1187" s="3" t="s">
        <v>121</v>
      </c>
      <c r="I1187" s="4">
        <f>I1191+I1190+I1189+I1188</f>
        <v>127592</v>
      </c>
      <c r="J1187" s="4">
        <f>J1191+J1190+J1189+J1188</f>
        <v>90415</v>
      </c>
      <c r="K1187" s="361">
        <f t="shared" si="182"/>
        <v>70.862593266035489</v>
      </c>
      <c r="L1187" s="4"/>
      <c r="M1187" s="4"/>
      <c r="N1187" s="361"/>
      <c r="O1187" s="92">
        <f t="shared" si="179"/>
        <v>127592</v>
      </c>
      <c r="P1187" s="92">
        <f t="shared" si="180"/>
        <v>90415</v>
      </c>
      <c r="Q1187" s="361">
        <f t="shared" si="181"/>
        <v>70.862593266035489</v>
      </c>
    </row>
    <row r="1188" spans="2:17" s="122" customFormat="1" x14ac:dyDescent="0.2">
      <c r="B1188" s="18">
        <f t="shared" si="177"/>
        <v>693</v>
      </c>
      <c r="C1188" s="6"/>
      <c r="D1188" s="6"/>
      <c r="E1188" s="6"/>
      <c r="F1188" s="93"/>
      <c r="G1188" s="5">
        <v>632</v>
      </c>
      <c r="H1188" s="6" t="s">
        <v>134</v>
      </c>
      <c r="I1188" s="7">
        <f>3069+22046+2207+269+250+250+400+22-11</f>
        <v>28502</v>
      </c>
      <c r="J1188" s="7">
        <v>15608</v>
      </c>
      <c r="K1188" s="361">
        <f t="shared" si="182"/>
        <v>54.761069398638696</v>
      </c>
      <c r="L1188" s="7"/>
      <c r="M1188" s="7"/>
      <c r="N1188" s="361"/>
      <c r="O1188" s="95">
        <f t="shared" si="179"/>
        <v>28502</v>
      </c>
      <c r="P1188" s="95">
        <f t="shared" si="180"/>
        <v>15608</v>
      </c>
      <c r="Q1188" s="361">
        <f t="shared" si="181"/>
        <v>54.761069398638696</v>
      </c>
    </row>
    <row r="1189" spans="2:17" s="122" customFormat="1" x14ac:dyDescent="0.2">
      <c r="B1189" s="18">
        <f t="shared" si="177"/>
        <v>694</v>
      </c>
      <c r="C1189" s="6"/>
      <c r="D1189" s="6"/>
      <c r="E1189" s="6"/>
      <c r="F1189" s="93"/>
      <c r="G1189" s="5">
        <v>633</v>
      </c>
      <c r="H1189" s="6" t="s">
        <v>125</v>
      </c>
      <c r="I1189" s="7">
        <f>1900+81060+7500+2901+7170-2130-7666-2194</f>
        <v>88541</v>
      </c>
      <c r="J1189" s="7">
        <v>64258</v>
      </c>
      <c r="K1189" s="361">
        <f t="shared" si="182"/>
        <v>72.574287618165599</v>
      </c>
      <c r="L1189" s="7"/>
      <c r="M1189" s="7"/>
      <c r="N1189" s="361"/>
      <c r="O1189" s="95">
        <f t="shared" si="179"/>
        <v>88541</v>
      </c>
      <c r="P1189" s="95">
        <f t="shared" si="180"/>
        <v>64258</v>
      </c>
      <c r="Q1189" s="361">
        <f t="shared" si="181"/>
        <v>72.574287618165599</v>
      </c>
    </row>
    <row r="1190" spans="2:17" x14ac:dyDescent="0.2">
      <c r="B1190" s="18">
        <f t="shared" si="177"/>
        <v>695</v>
      </c>
      <c r="C1190" s="6"/>
      <c r="D1190" s="6"/>
      <c r="E1190" s="6"/>
      <c r="F1190" s="93"/>
      <c r="G1190" s="5">
        <v>635</v>
      </c>
      <c r="H1190" s="6" t="s">
        <v>133</v>
      </c>
      <c r="I1190" s="7">
        <f>5544+1179</f>
        <v>6723</v>
      </c>
      <c r="J1190" s="7">
        <v>6723</v>
      </c>
      <c r="K1190" s="361">
        <f t="shared" si="182"/>
        <v>100</v>
      </c>
      <c r="L1190" s="7"/>
      <c r="M1190" s="7"/>
      <c r="N1190" s="361"/>
      <c r="O1190" s="95">
        <f t="shared" si="179"/>
        <v>6723</v>
      </c>
      <c r="P1190" s="95">
        <f t="shared" si="180"/>
        <v>6723</v>
      </c>
      <c r="Q1190" s="361">
        <f t="shared" si="181"/>
        <v>100</v>
      </c>
    </row>
    <row r="1191" spans="2:17" x14ac:dyDescent="0.2">
      <c r="B1191" s="18">
        <f t="shared" si="177"/>
        <v>696</v>
      </c>
      <c r="C1191" s="6"/>
      <c r="D1191" s="6"/>
      <c r="E1191" s="6"/>
      <c r="F1191" s="93"/>
      <c r="G1191" s="5">
        <v>637</v>
      </c>
      <c r="H1191" s="6" t="s">
        <v>122</v>
      </c>
      <c r="I1191" s="7">
        <f>812+394+1019+650+951</f>
        <v>3826</v>
      </c>
      <c r="J1191" s="7">
        <v>3826</v>
      </c>
      <c r="K1191" s="361">
        <f t="shared" si="182"/>
        <v>100</v>
      </c>
      <c r="L1191" s="7"/>
      <c r="M1191" s="7"/>
      <c r="N1191" s="361"/>
      <c r="O1191" s="95">
        <f t="shared" si="179"/>
        <v>3826</v>
      </c>
      <c r="P1191" s="95">
        <f t="shared" si="180"/>
        <v>3826</v>
      </c>
      <c r="Q1191" s="361">
        <f t="shared" si="181"/>
        <v>100</v>
      </c>
    </row>
    <row r="1192" spans="2:17" x14ac:dyDescent="0.2">
      <c r="B1192" s="18">
        <f t="shared" si="177"/>
        <v>697</v>
      </c>
      <c r="C1192" s="3"/>
      <c r="D1192" s="3"/>
      <c r="E1192" s="3"/>
      <c r="F1192" s="90" t="s">
        <v>79</v>
      </c>
      <c r="G1192" s="2">
        <v>640</v>
      </c>
      <c r="H1192" s="3" t="s">
        <v>129</v>
      </c>
      <c r="I1192" s="4">
        <f>250+11</f>
        <v>261</v>
      </c>
      <c r="J1192" s="4">
        <v>261</v>
      </c>
      <c r="K1192" s="361">
        <f t="shared" si="182"/>
        <v>100</v>
      </c>
      <c r="L1192" s="4"/>
      <c r="M1192" s="4"/>
      <c r="N1192" s="361"/>
      <c r="O1192" s="92">
        <f t="shared" si="179"/>
        <v>261</v>
      </c>
      <c r="P1192" s="92">
        <f t="shared" si="180"/>
        <v>261</v>
      </c>
      <c r="Q1192" s="361">
        <f t="shared" si="181"/>
        <v>100</v>
      </c>
    </row>
    <row r="1193" spans="2:17" x14ac:dyDescent="0.2">
      <c r="B1193" s="18">
        <f t="shared" si="177"/>
        <v>698</v>
      </c>
      <c r="C1193" s="3"/>
      <c r="D1193" s="3"/>
      <c r="E1193" s="3"/>
      <c r="F1193" s="90" t="s">
        <v>49</v>
      </c>
      <c r="G1193" s="2">
        <v>610</v>
      </c>
      <c r="H1193" s="3" t="s">
        <v>131</v>
      </c>
      <c r="I1193" s="4">
        <f>1850+2500+4476+37298+6787+247</f>
        <v>53158</v>
      </c>
      <c r="J1193" s="4">
        <v>48746</v>
      </c>
      <c r="K1193" s="361">
        <f t="shared" si="182"/>
        <v>91.700214455020884</v>
      </c>
      <c r="L1193" s="4"/>
      <c r="M1193" s="4"/>
      <c r="N1193" s="361"/>
      <c r="O1193" s="92">
        <f t="shared" si="179"/>
        <v>53158</v>
      </c>
      <c r="P1193" s="92">
        <f t="shared" si="180"/>
        <v>48746</v>
      </c>
      <c r="Q1193" s="361">
        <f t="shared" si="181"/>
        <v>91.700214455020884</v>
      </c>
    </row>
    <row r="1194" spans="2:17" x14ac:dyDescent="0.2">
      <c r="B1194" s="18">
        <f t="shared" si="177"/>
        <v>699</v>
      </c>
      <c r="C1194" s="3"/>
      <c r="D1194" s="3"/>
      <c r="E1194" s="3"/>
      <c r="F1194" s="90" t="s">
        <v>49</v>
      </c>
      <c r="G1194" s="2">
        <v>620</v>
      </c>
      <c r="H1194" s="3" t="s">
        <v>124</v>
      </c>
      <c r="I1194" s="4">
        <f>195+675+224+1225+5520+1150+295+10235-247</f>
        <v>19272</v>
      </c>
      <c r="J1194" s="4">
        <v>17685</v>
      </c>
      <c r="K1194" s="361">
        <f t="shared" si="182"/>
        <v>91.765255292652554</v>
      </c>
      <c r="L1194" s="4"/>
      <c r="M1194" s="4"/>
      <c r="N1194" s="361"/>
      <c r="O1194" s="92">
        <f t="shared" si="179"/>
        <v>19272</v>
      </c>
      <c r="P1194" s="92">
        <f t="shared" si="180"/>
        <v>17685</v>
      </c>
      <c r="Q1194" s="361">
        <f t="shared" si="181"/>
        <v>91.765255292652554</v>
      </c>
    </row>
    <row r="1195" spans="2:17" x14ac:dyDescent="0.2">
      <c r="B1195" s="18">
        <f t="shared" si="177"/>
        <v>700</v>
      </c>
      <c r="C1195" s="3"/>
      <c r="D1195" s="3"/>
      <c r="E1195" s="3"/>
      <c r="F1195" s="90" t="s">
        <v>49</v>
      </c>
      <c r="G1195" s="2">
        <v>630</v>
      </c>
      <c r="H1195" s="3" t="s">
        <v>121</v>
      </c>
      <c r="I1195" s="4">
        <f>I1199+I1198+I1197+I1196</f>
        <v>128971</v>
      </c>
      <c r="J1195" s="4">
        <f>J1199+J1198+J1197+J1196</f>
        <v>102788</v>
      </c>
      <c r="K1195" s="361">
        <f t="shared" si="182"/>
        <v>79.698536880383969</v>
      </c>
      <c r="L1195" s="4"/>
      <c r="M1195" s="4"/>
      <c r="N1195" s="361"/>
      <c r="O1195" s="92">
        <f t="shared" si="179"/>
        <v>128971</v>
      </c>
      <c r="P1195" s="92">
        <f t="shared" si="180"/>
        <v>102788</v>
      </c>
      <c r="Q1195" s="361">
        <f t="shared" si="181"/>
        <v>79.698536880383969</v>
      </c>
    </row>
    <row r="1196" spans="2:17" x14ac:dyDescent="0.2">
      <c r="B1196" s="18">
        <f t="shared" si="177"/>
        <v>701</v>
      </c>
      <c r="C1196" s="6"/>
      <c r="D1196" s="6"/>
      <c r="E1196" s="6"/>
      <c r="F1196" s="93"/>
      <c r="G1196" s="5">
        <v>632</v>
      </c>
      <c r="H1196" s="6" t="s">
        <v>134</v>
      </c>
      <c r="I1196" s="7">
        <f>3069+22047+2207+269+250+250+400+22</f>
        <v>28514</v>
      </c>
      <c r="J1196" s="7">
        <v>15621</v>
      </c>
      <c r="K1196" s="361">
        <f t="shared" si="182"/>
        <v>54.783615066283232</v>
      </c>
      <c r="L1196" s="7"/>
      <c r="M1196" s="7"/>
      <c r="N1196" s="361"/>
      <c r="O1196" s="95">
        <f t="shared" si="179"/>
        <v>28514</v>
      </c>
      <c r="P1196" s="95">
        <f t="shared" si="180"/>
        <v>15621</v>
      </c>
      <c r="Q1196" s="361">
        <f t="shared" si="181"/>
        <v>54.783615066283232</v>
      </c>
    </row>
    <row r="1197" spans="2:17" x14ac:dyDescent="0.2">
      <c r="B1197" s="18">
        <f t="shared" si="177"/>
        <v>702</v>
      </c>
      <c r="C1197" s="6"/>
      <c r="D1197" s="6"/>
      <c r="E1197" s="6"/>
      <c r="F1197" s="93"/>
      <c r="G1197" s="5">
        <v>633</v>
      </c>
      <c r="H1197" s="6" t="s">
        <v>125</v>
      </c>
      <c r="I1197" s="7">
        <f>1895+84180+7500+2906+7170-13834</f>
        <v>89817</v>
      </c>
      <c r="J1197" s="7">
        <v>76526</v>
      </c>
      <c r="K1197" s="361">
        <f t="shared" si="182"/>
        <v>85.202133226449334</v>
      </c>
      <c r="L1197" s="7"/>
      <c r="M1197" s="7"/>
      <c r="N1197" s="361"/>
      <c r="O1197" s="95">
        <f t="shared" si="179"/>
        <v>89817</v>
      </c>
      <c r="P1197" s="95">
        <f t="shared" si="180"/>
        <v>76526</v>
      </c>
      <c r="Q1197" s="361">
        <f t="shared" si="181"/>
        <v>85.202133226449334</v>
      </c>
    </row>
    <row r="1198" spans="2:17" x14ac:dyDescent="0.2">
      <c r="B1198" s="18">
        <f t="shared" si="177"/>
        <v>703</v>
      </c>
      <c r="C1198" s="6"/>
      <c r="D1198" s="6"/>
      <c r="E1198" s="6"/>
      <c r="F1198" s="93"/>
      <c r="G1198" s="5">
        <v>635</v>
      </c>
      <c r="H1198" s="6" t="s">
        <v>133</v>
      </c>
      <c r="I1198" s="7">
        <f>5544+1179</f>
        <v>6723</v>
      </c>
      <c r="J1198" s="7">
        <v>6724</v>
      </c>
      <c r="K1198" s="361">
        <f t="shared" si="182"/>
        <v>100.01487431206306</v>
      </c>
      <c r="L1198" s="7"/>
      <c r="M1198" s="7"/>
      <c r="N1198" s="361"/>
      <c r="O1198" s="95">
        <f t="shared" si="179"/>
        <v>6723</v>
      </c>
      <c r="P1198" s="95">
        <f t="shared" si="180"/>
        <v>6724</v>
      </c>
      <c r="Q1198" s="361">
        <f t="shared" si="181"/>
        <v>100.01487431206306</v>
      </c>
    </row>
    <row r="1199" spans="2:17" x14ac:dyDescent="0.2">
      <c r="B1199" s="18">
        <f t="shared" si="177"/>
        <v>704</v>
      </c>
      <c r="C1199" s="6"/>
      <c r="D1199" s="6"/>
      <c r="E1199" s="6"/>
      <c r="F1199" s="93"/>
      <c r="G1199" s="5">
        <v>637</v>
      </c>
      <c r="H1199" s="6" t="s">
        <v>122</v>
      </c>
      <c r="I1199" s="7">
        <f>812+415+998+650+1042</f>
        <v>3917</v>
      </c>
      <c r="J1199" s="7">
        <v>3917</v>
      </c>
      <c r="K1199" s="361">
        <f t="shared" si="182"/>
        <v>100</v>
      </c>
      <c r="L1199" s="7"/>
      <c r="M1199" s="7"/>
      <c r="N1199" s="361"/>
      <c r="O1199" s="95">
        <f t="shared" si="179"/>
        <v>3917</v>
      </c>
      <c r="P1199" s="95">
        <f t="shared" si="180"/>
        <v>3917</v>
      </c>
      <c r="Q1199" s="361">
        <f t="shared" si="181"/>
        <v>100</v>
      </c>
    </row>
    <row r="1200" spans="2:17" x14ac:dyDescent="0.2">
      <c r="B1200" s="18">
        <f t="shared" si="177"/>
        <v>705</v>
      </c>
      <c r="C1200" s="3"/>
      <c r="D1200" s="3"/>
      <c r="E1200" s="3"/>
      <c r="F1200" s="90" t="s">
        <v>49</v>
      </c>
      <c r="G1200" s="2">
        <v>640</v>
      </c>
      <c r="H1200" s="3" t="s">
        <v>129</v>
      </c>
      <c r="I1200" s="4">
        <f>250-91+353</f>
        <v>512</v>
      </c>
      <c r="J1200" s="4">
        <v>159</v>
      </c>
      <c r="K1200" s="361">
        <f t="shared" si="182"/>
        <v>31.0546875</v>
      </c>
      <c r="L1200" s="4"/>
      <c r="M1200" s="4"/>
      <c r="N1200" s="361"/>
      <c r="O1200" s="92">
        <f t="shared" si="179"/>
        <v>512</v>
      </c>
      <c r="P1200" s="92">
        <f t="shared" si="180"/>
        <v>159</v>
      </c>
      <c r="Q1200" s="361">
        <f t="shared" si="181"/>
        <v>31.0546875</v>
      </c>
    </row>
    <row r="1201" spans="2:17" x14ac:dyDescent="0.2">
      <c r="B1201" s="18">
        <f t="shared" ref="B1201:B1213" si="183">B1200+1</f>
        <v>706</v>
      </c>
      <c r="C1201" s="3"/>
      <c r="D1201" s="3"/>
      <c r="E1201" s="3"/>
      <c r="F1201" s="90" t="s">
        <v>75</v>
      </c>
      <c r="G1201" s="2">
        <v>640</v>
      </c>
      <c r="H1201" s="3" t="s">
        <v>129</v>
      </c>
      <c r="I1201" s="4">
        <f>2633+265</f>
        <v>2898</v>
      </c>
      <c r="J1201" s="4">
        <v>3251</v>
      </c>
      <c r="K1201" s="361">
        <f t="shared" si="182"/>
        <v>112.1808143547274</v>
      </c>
      <c r="L1201" s="4"/>
      <c r="M1201" s="4"/>
      <c r="N1201" s="361"/>
      <c r="O1201" s="92">
        <f t="shared" si="179"/>
        <v>2898</v>
      </c>
      <c r="P1201" s="92">
        <f t="shared" si="180"/>
        <v>3251</v>
      </c>
      <c r="Q1201" s="361">
        <f t="shared" si="181"/>
        <v>112.1808143547274</v>
      </c>
    </row>
    <row r="1202" spans="2:17" x14ac:dyDescent="0.2">
      <c r="B1202" s="18">
        <f t="shared" si="183"/>
        <v>707</v>
      </c>
      <c r="C1202" s="3"/>
      <c r="D1202" s="3"/>
      <c r="E1202" s="3"/>
      <c r="F1202" s="90" t="s">
        <v>49</v>
      </c>
      <c r="G1202" s="2">
        <v>710</v>
      </c>
      <c r="H1202" s="3" t="s">
        <v>175</v>
      </c>
      <c r="I1202" s="4"/>
      <c r="J1202" s="4"/>
      <c r="K1202" s="361"/>
      <c r="L1202" s="4">
        <f>L1203</f>
        <v>11704</v>
      </c>
      <c r="M1202" s="4">
        <f>M1203</f>
        <v>11704</v>
      </c>
      <c r="N1202" s="361">
        <f>M1202/L1202*100</f>
        <v>100</v>
      </c>
      <c r="O1202" s="92">
        <f t="shared" si="179"/>
        <v>11704</v>
      </c>
      <c r="P1202" s="92">
        <f t="shared" si="180"/>
        <v>11704</v>
      </c>
      <c r="Q1202" s="361">
        <f t="shared" si="181"/>
        <v>100</v>
      </c>
    </row>
    <row r="1203" spans="2:17" x14ac:dyDescent="0.2">
      <c r="B1203" s="18">
        <f t="shared" si="183"/>
        <v>708</v>
      </c>
      <c r="C1203" s="3"/>
      <c r="D1203" s="3"/>
      <c r="E1203" s="3"/>
      <c r="F1203" s="90"/>
      <c r="G1203" s="5">
        <v>713</v>
      </c>
      <c r="H1203" s="6" t="s">
        <v>218</v>
      </c>
      <c r="I1203" s="4"/>
      <c r="J1203" s="4"/>
      <c r="K1203" s="361"/>
      <c r="L1203" s="7">
        <f>L1204</f>
        <v>11704</v>
      </c>
      <c r="M1203" s="7">
        <f>M1204</f>
        <v>11704</v>
      </c>
      <c r="N1203" s="361">
        <f>M1203/L1203*100</f>
        <v>100</v>
      </c>
      <c r="O1203" s="95">
        <f t="shared" si="179"/>
        <v>11704</v>
      </c>
      <c r="P1203" s="95">
        <f t="shared" si="180"/>
        <v>11704</v>
      </c>
      <c r="Q1203" s="361">
        <f t="shared" si="181"/>
        <v>100</v>
      </c>
    </row>
    <row r="1204" spans="2:17" x14ac:dyDescent="0.2">
      <c r="B1204" s="18">
        <f t="shared" si="183"/>
        <v>709</v>
      </c>
      <c r="C1204" s="3"/>
      <c r="D1204" s="3"/>
      <c r="E1204" s="3"/>
      <c r="F1204" s="90"/>
      <c r="G1204" s="106"/>
      <c r="H1204" s="9" t="s">
        <v>732</v>
      </c>
      <c r="I1204" s="4"/>
      <c r="J1204" s="4"/>
      <c r="K1204" s="361"/>
      <c r="L1204" s="10">
        <v>11704</v>
      </c>
      <c r="M1204" s="10">
        <v>11704</v>
      </c>
      <c r="N1204" s="361">
        <f>M1204/L1204*100</f>
        <v>100</v>
      </c>
      <c r="O1204" s="108">
        <f t="shared" si="179"/>
        <v>11704</v>
      </c>
      <c r="P1204" s="108">
        <f t="shared" si="180"/>
        <v>11704</v>
      </c>
      <c r="Q1204" s="361">
        <f t="shared" si="181"/>
        <v>100</v>
      </c>
    </row>
    <row r="1205" spans="2:17" ht="15" x14ac:dyDescent="0.25">
      <c r="B1205" s="18">
        <f t="shared" si="183"/>
        <v>710</v>
      </c>
      <c r="C1205" s="176"/>
      <c r="D1205" s="176"/>
      <c r="E1205" s="176">
        <v>7</v>
      </c>
      <c r="F1205" s="177"/>
      <c r="G1205" s="177"/>
      <c r="H1205" s="176" t="s">
        <v>286</v>
      </c>
      <c r="I1205" s="178">
        <f>I1206+I1207+I1208+I1212+I1213+I1214+I1215+I1220</f>
        <v>467249</v>
      </c>
      <c r="J1205" s="178">
        <f>J1206+J1207+J1208+J1212+J1213+J1214+J1215+J1220</f>
        <v>450608</v>
      </c>
      <c r="K1205" s="361">
        <f t="shared" ref="K1205:K1220" si="184">J1205/I1205*100</f>
        <v>96.43851565225394</v>
      </c>
      <c r="L1205" s="178">
        <f>L1221</f>
        <v>3115</v>
      </c>
      <c r="M1205" s="178">
        <f>M1221</f>
        <v>0</v>
      </c>
      <c r="N1205" s="361">
        <f>M1205/L1205*100</f>
        <v>0</v>
      </c>
      <c r="O1205" s="179">
        <f t="shared" si="179"/>
        <v>470364</v>
      </c>
      <c r="P1205" s="179">
        <f t="shared" si="180"/>
        <v>450608</v>
      </c>
      <c r="Q1205" s="361">
        <f t="shared" si="181"/>
        <v>95.799848627871171</v>
      </c>
    </row>
    <row r="1206" spans="2:17" x14ac:dyDescent="0.2">
      <c r="B1206" s="18">
        <f t="shared" si="183"/>
        <v>711</v>
      </c>
      <c r="C1206" s="3"/>
      <c r="D1206" s="3"/>
      <c r="E1206" s="3"/>
      <c r="F1206" s="90" t="s">
        <v>79</v>
      </c>
      <c r="G1206" s="2">
        <v>610</v>
      </c>
      <c r="H1206" s="3" t="s">
        <v>131</v>
      </c>
      <c r="I1206" s="4">
        <f>9300+2700+43000-5000+4000-420</f>
        <v>53580</v>
      </c>
      <c r="J1206" s="4">
        <v>53580</v>
      </c>
      <c r="K1206" s="361">
        <f t="shared" si="184"/>
        <v>100</v>
      </c>
      <c r="L1206" s="4"/>
      <c r="M1206" s="4"/>
      <c r="N1206" s="361"/>
      <c r="O1206" s="92">
        <f t="shared" si="179"/>
        <v>53580</v>
      </c>
      <c r="P1206" s="92">
        <f t="shared" si="180"/>
        <v>53580</v>
      </c>
      <c r="Q1206" s="361">
        <f t="shared" si="181"/>
        <v>100</v>
      </c>
    </row>
    <row r="1207" spans="2:17" x14ac:dyDescent="0.2">
      <c r="B1207" s="18">
        <f t="shared" si="183"/>
        <v>712</v>
      </c>
      <c r="C1207" s="3"/>
      <c r="D1207" s="3"/>
      <c r="E1207" s="3"/>
      <c r="F1207" s="90" t="s">
        <v>79</v>
      </c>
      <c r="G1207" s="2">
        <v>620</v>
      </c>
      <c r="H1207" s="3" t="s">
        <v>124</v>
      </c>
      <c r="I1207" s="4">
        <f>2600+1600+4000+900+790+550+7700+770+470-4000+3000+1320</f>
        <v>19700</v>
      </c>
      <c r="J1207" s="4">
        <v>19701</v>
      </c>
      <c r="K1207" s="361">
        <f t="shared" si="184"/>
        <v>100.00507614213198</v>
      </c>
      <c r="L1207" s="4"/>
      <c r="M1207" s="4"/>
      <c r="N1207" s="361"/>
      <c r="O1207" s="92">
        <f t="shared" si="179"/>
        <v>19700</v>
      </c>
      <c r="P1207" s="92">
        <f t="shared" si="180"/>
        <v>19701</v>
      </c>
      <c r="Q1207" s="361">
        <f t="shared" si="181"/>
        <v>100.00507614213198</v>
      </c>
    </row>
    <row r="1208" spans="2:17" x14ac:dyDescent="0.2">
      <c r="B1208" s="18">
        <f t="shared" si="183"/>
        <v>713</v>
      </c>
      <c r="C1208" s="3"/>
      <c r="D1208" s="3"/>
      <c r="E1208" s="3"/>
      <c r="F1208" s="90" t="s">
        <v>79</v>
      </c>
      <c r="G1208" s="2">
        <v>630</v>
      </c>
      <c r="H1208" s="3" t="s">
        <v>121</v>
      </c>
      <c r="I1208" s="4">
        <f>SUM(I1209:I1211)</f>
        <v>115400</v>
      </c>
      <c r="J1208" s="4">
        <f>SUM(J1209:J1211)</f>
        <v>102088</v>
      </c>
      <c r="K1208" s="361">
        <f t="shared" si="184"/>
        <v>88.464471403812823</v>
      </c>
      <c r="L1208" s="4"/>
      <c r="M1208" s="4"/>
      <c r="N1208" s="361"/>
      <c r="O1208" s="92">
        <f t="shared" si="179"/>
        <v>115400</v>
      </c>
      <c r="P1208" s="92">
        <f t="shared" si="180"/>
        <v>102088</v>
      </c>
      <c r="Q1208" s="361">
        <f t="shared" si="181"/>
        <v>88.464471403812823</v>
      </c>
    </row>
    <row r="1209" spans="2:17" x14ac:dyDescent="0.2">
      <c r="B1209" s="18">
        <f t="shared" si="183"/>
        <v>714</v>
      </c>
      <c r="C1209" s="6"/>
      <c r="D1209" s="6"/>
      <c r="E1209" s="6"/>
      <c r="F1209" s="93"/>
      <c r="G1209" s="5">
        <v>633</v>
      </c>
      <c r="H1209" s="6" t="s">
        <v>125</v>
      </c>
      <c r="I1209" s="7">
        <f>4200+81000+15500-7000+10000</f>
        <v>103700</v>
      </c>
      <c r="J1209" s="7">
        <v>90388</v>
      </c>
      <c r="K1209" s="361">
        <f t="shared" si="184"/>
        <v>87.162970106075221</v>
      </c>
      <c r="L1209" s="7"/>
      <c r="M1209" s="7"/>
      <c r="N1209" s="361"/>
      <c r="O1209" s="95">
        <f t="shared" si="179"/>
        <v>103700</v>
      </c>
      <c r="P1209" s="95">
        <f t="shared" si="180"/>
        <v>90388</v>
      </c>
      <c r="Q1209" s="361">
        <f t="shared" si="181"/>
        <v>87.162970106075221</v>
      </c>
    </row>
    <row r="1210" spans="2:17" x14ac:dyDescent="0.2">
      <c r="B1210" s="18">
        <f t="shared" si="183"/>
        <v>715</v>
      </c>
      <c r="C1210" s="6"/>
      <c r="D1210" s="6"/>
      <c r="E1210" s="6"/>
      <c r="F1210" s="93"/>
      <c r="G1210" s="5">
        <v>635</v>
      </c>
      <c r="H1210" s="6" t="s">
        <v>133</v>
      </c>
      <c r="I1210" s="7">
        <f>2500+3100</f>
        <v>5600</v>
      </c>
      <c r="J1210" s="7">
        <v>5600</v>
      </c>
      <c r="K1210" s="361">
        <f t="shared" si="184"/>
        <v>100</v>
      </c>
      <c r="L1210" s="7"/>
      <c r="M1210" s="7"/>
      <c r="N1210" s="361"/>
      <c r="O1210" s="95">
        <f t="shared" si="179"/>
        <v>5600</v>
      </c>
      <c r="P1210" s="95">
        <f t="shared" si="180"/>
        <v>5600</v>
      </c>
      <c r="Q1210" s="361">
        <f t="shared" si="181"/>
        <v>100</v>
      </c>
    </row>
    <row r="1211" spans="2:17" x14ac:dyDescent="0.2">
      <c r="B1211" s="18">
        <f t="shared" si="183"/>
        <v>716</v>
      </c>
      <c r="C1211" s="6"/>
      <c r="D1211" s="6"/>
      <c r="E1211" s="6"/>
      <c r="F1211" s="93"/>
      <c r="G1211" s="5">
        <v>637</v>
      </c>
      <c r="H1211" s="6" t="s">
        <v>122</v>
      </c>
      <c r="I1211" s="7">
        <f>4200+1200+700</f>
        <v>6100</v>
      </c>
      <c r="J1211" s="7">
        <v>6100</v>
      </c>
      <c r="K1211" s="361">
        <f t="shared" si="184"/>
        <v>100</v>
      </c>
      <c r="L1211" s="7"/>
      <c r="M1211" s="7"/>
      <c r="N1211" s="361"/>
      <c r="O1211" s="95">
        <f t="shared" si="179"/>
        <v>6100</v>
      </c>
      <c r="P1211" s="95">
        <f t="shared" si="180"/>
        <v>6100</v>
      </c>
      <c r="Q1211" s="361">
        <f t="shared" si="181"/>
        <v>100</v>
      </c>
    </row>
    <row r="1212" spans="2:17" x14ac:dyDescent="0.2">
      <c r="B1212" s="18">
        <f t="shared" si="183"/>
        <v>717</v>
      </c>
      <c r="C1212" s="3"/>
      <c r="D1212" s="3"/>
      <c r="E1212" s="3"/>
      <c r="F1212" s="90" t="s">
        <v>79</v>
      </c>
      <c r="G1212" s="2">
        <v>640</v>
      </c>
      <c r="H1212" s="3" t="s">
        <v>129</v>
      </c>
      <c r="I1212" s="4">
        <f>1200-900</f>
        <v>300</v>
      </c>
      <c r="J1212" s="4">
        <v>300</v>
      </c>
      <c r="K1212" s="361">
        <f t="shared" si="184"/>
        <v>100</v>
      </c>
      <c r="L1212" s="4"/>
      <c r="M1212" s="4"/>
      <c r="N1212" s="361"/>
      <c r="O1212" s="92">
        <f t="shared" si="179"/>
        <v>300</v>
      </c>
      <c r="P1212" s="92">
        <f t="shared" si="180"/>
        <v>300</v>
      </c>
      <c r="Q1212" s="361">
        <f t="shared" si="181"/>
        <v>100</v>
      </c>
    </row>
    <row r="1213" spans="2:17" x14ac:dyDescent="0.2">
      <c r="B1213" s="18">
        <f t="shared" si="183"/>
        <v>718</v>
      </c>
      <c r="C1213" s="3"/>
      <c r="D1213" s="3"/>
      <c r="E1213" s="3"/>
      <c r="F1213" s="90" t="s">
        <v>49</v>
      </c>
      <c r="G1213" s="2">
        <v>610</v>
      </c>
      <c r="H1213" s="3" t="s">
        <v>131</v>
      </c>
      <c r="I1213" s="4">
        <f>91679-700-1780</f>
        <v>89199</v>
      </c>
      <c r="J1213" s="4">
        <v>89199</v>
      </c>
      <c r="K1213" s="361">
        <f t="shared" si="184"/>
        <v>100</v>
      </c>
      <c r="L1213" s="4"/>
      <c r="M1213" s="4"/>
      <c r="N1213" s="361"/>
      <c r="O1213" s="92">
        <f t="shared" si="179"/>
        <v>89199</v>
      </c>
      <c r="P1213" s="92">
        <f t="shared" si="180"/>
        <v>89199</v>
      </c>
      <c r="Q1213" s="361">
        <f t="shared" si="181"/>
        <v>100</v>
      </c>
    </row>
    <row r="1214" spans="2:17" x14ac:dyDescent="0.2">
      <c r="B1214" s="18">
        <f t="shared" ref="B1214:B1245" si="185">B1213+1</f>
        <v>719</v>
      </c>
      <c r="C1214" s="3"/>
      <c r="D1214" s="3"/>
      <c r="E1214" s="3"/>
      <c r="F1214" s="90" t="s">
        <v>49</v>
      </c>
      <c r="G1214" s="2">
        <v>620</v>
      </c>
      <c r="H1214" s="3" t="s">
        <v>124</v>
      </c>
      <c r="I1214" s="4">
        <f>32105+1780</f>
        <v>33885</v>
      </c>
      <c r="J1214" s="4">
        <v>33884</v>
      </c>
      <c r="K1214" s="361">
        <f t="shared" si="184"/>
        <v>99.997048841670349</v>
      </c>
      <c r="L1214" s="4"/>
      <c r="M1214" s="4"/>
      <c r="N1214" s="361"/>
      <c r="O1214" s="92">
        <f t="shared" si="179"/>
        <v>33885</v>
      </c>
      <c r="P1214" s="92">
        <f t="shared" si="180"/>
        <v>33884</v>
      </c>
      <c r="Q1214" s="361">
        <f t="shared" si="181"/>
        <v>99.997048841670349</v>
      </c>
    </row>
    <row r="1215" spans="2:17" x14ac:dyDescent="0.2">
      <c r="B1215" s="18">
        <f t="shared" si="185"/>
        <v>720</v>
      </c>
      <c r="C1215" s="3"/>
      <c r="D1215" s="3"/>
      <c r="E1215" s="3"/>
      <c r="F1215" s="90" t="s">
        <v>49</v>
      </c>
      <c r="G1215" s="2">
        <v>630</v>
      </c>
      <c r="H1215" s="3" t="s">
        <v>121</v>
      </c>
      <c r="I1215" s="4">
        <f>I1219+I1218+I1217+I1216</f>
        <v>154485</v>
      </c>
      <c r="J1215" s="4">
        <f>J1219+J1218+J1217+J1216</f>
        <v>151156</v>
      </c>
      <c r="K1215" s="361">
        <f t="shared" si="184"/>
        <v>97.845098229601575</v>
      </c>
      <c r="L1215" s="4"/>
      <c r="M1215" s="4"/>
      <c r="N1215" s="361"/>
      <c r="O1215" s="92">
        <f t="shared" si="179"/>
        <v>154485</v>
      </c>
      <c r="P1215" s="92">
        <f t="shared" si="180"/>
        <v>151156</v>
      </c>
      <c r="Q1215" s="361">
        <f t="shared" si="181"/>
        <v>97.845098229601575</v>
      </c>
    </row>
    <row r="1216" spans="2:17" s="122" customFormat="1" x14ac:dyDescent="0.2">
      <c r="B1216" s="18">
        <f t="shared" si="185"/>
        <v>721</v>
      </c>
      <c r="C1216" s="6"/>
      <c r="D1216" s="6"/>
      <c r="E1216" s="6"/>
      <c r="F1216" s="93"/>
      <c r="G1216" s="5">
        <v>632</v>
      </c>
      <c r="H1216" s="6" t="s">
        <v>134</v>
      </c>
      <c r="I1216" s="7">
        <v>4200</v>
      </c>
      <c r="J1216" s="7">
        <v>4200</v>
      </c>
      <c r="K1216" s="361">
        <f t="shared" si="184"/>
        <v>100</v>
      </c>
      <c r="L1216" s="7"/>
      <c r="M1216" s="7"/>
      <c r="N1216" s="361"/>
      <c r="O1216" s="95">
        <f t="shared" si="179"/>
        <v>4200</v>
      </c>
      <c r="P1216" s="95">
        <f t="shared" si="180"/>
        <v>4200</v>
      </c>
      <c r="Q1216" s="361">
        <f t="shared" si="181"/>
        <v>100</v>
      </c>
    </row>
    <row r="1217" spans="2:17" x14ac:dyDescent="0.2">
      <c r="B1217" s="18">
        <f t="shared" si="185"/>
        <v>722</v>
      </c>
      <c r="C1217" s="6"/>
      <c r="D1217" s="6"/>
      <c r="E1217" s="6"/>
      <c r="F1217" s="93"/>
      <c r="G1217" s="5">
        <v>633</v>
      </c>
      <c r="H1217" s="6" t="s">
        <v>125</v>
      </c>
      <c r="I1217" s="7">
        <f>115000+24200+3700+3500-3115</f>
        <v>143285</v>
      </c>
      <c r="J1217" s="7">
        <v>139956</v>
      </c>
      <c r="K1217" s="361">
        <f t="shared" si="184"/>
        <v>97.676658408067837</v>
      </c>
      <c r="L1217" s="7"/>
      <c r="M1217" s="7"/>
      <c r="N1217" s="361"/>
      <c r="O1217" s="95">
        <f t="shared" si="179"/>
        <v>143285</v>
      </c>
      <c r="P1217" s="95">
        <f t="shared" si="180"/>
        <v>139956</v>
      </c>
      <c r="Q1217" s="361">
        <f t="shared" si="181"/>
        <v>97.676658408067837</v>
      </c>
    </row>
    <row r="1218" spans="2:17" x14ac:dyDescent="0.2">
      <c r="B1218" s="18">
        <f t="shared" si="185"/>
        <v>723</v>
      </c>
      <c r="C1218" s="6"/>
      <c r="D1218" s="6"/>
      <c r="E1218" s="6"/>
      <c r="F1218" s="93"/>
      <c r="G1218" s="5">
        <v>635</v>
      </c>
      <c r="H1218" s="6" t="s">
        <v>133</v>
      </c>
      <c r="I1218" s="7">
        <v>2500</v>
      </c>
      <c r="J1218" s="7">
        <v>2500</v>
      </c>
      <c r="K1218" s="361">
        <f t="shared" si="184"/>
        <v>100</v>
      </c>
      <c r="L1218" s="7"/>
      <c r="M1218" s="7"/>
      <c r="N1218" s="361"/>
      <c r="O1218" s="95">
        <f t="shared" si="179"/>
        <v>2500</v>
      </c>
      <c r="P1218" s="95">
        <f t="shared" si="180"/>
        <v>2500</v>
      </c>
      <c r="Q1218" s="361">
        <f t="shared" si="181"/>
        <v>100</v>
      </c>
    </row>
    <row r="1219" spans="2:17" x14ac:dyDescent="0.2">
      <c r="B1219" s="18">
        <f t="shared" si="185"/>
        <v>724</v>
      </c>
      <c r="C1219" s="6"/>
      <c r="D1219" s="6"/>
      <c r="E1219" s="6"/>
      <c r="F1219" s="93"/>
      <c r="G1219" s="5">
        <v>637</v>
      </c>
      <c r="H1219" s="6" t="s">
        <v>122</v>
      </c>
      <c r="I1219" s="7">
        <f>1950+1000+2850-1300</f>
        <v>4500</v>
      </c>
      <c r="J1219" s="7">
        <v>4500</v>
      </c>
      <c r="K1219" s="361">
        <f t="shared" si="184"/>
        <v>100</v>
      </c>
      <c r="L1219" s="7"/>
      <c r="M1219" s="7"/>
      <c r="N1219" s="361"/>
      <c r="O1219" s="95">
        <f t="shared" si="179"/>
        <v>4500</v>
      </c>
      <c r="P1219" s="95">
        <f t="shared" si="180"/>
        <v>4500</v>
      </c>
      <c r="Q1219" s="361">
        <f t="shared" si="181"/>
        <v>100</v>
      </c>
    </row>
    <row r="1220" spans="2:17" x14ac:dyDescent="0.2">
      <c r="B1220" s="18">
        <f t="shared" si="185"/>
        <v>725</v>
      </c>
      <c r="C1220" s="6"/>
      <c r="D1220" s="6"/>
      <c r="E1220" s="6"/>
      <c r="F1220" s="90" t="s">
        <v>49</v>
      </c>
      <c r="G1220" s="2">
        <v>640</v>
      </c>
      <c r="H1220" s="3" t="s">
        <v>129</v>
      </c>
      <c r="I1220" s="4">
        <v>700</v>
      </c>
      <c r="J1220" s="4">
        <v>700</v>
      </c>
      <c r="K1220" s="361">
        <f t="shared" si="184"/>
        <v>100</v>
      </c>
      <c r="L1220" s="4"/>
      <c r="M1220" s="4"/>
      <c r="N1220" s="361"/>
      <c r="O1220" s="92">
        <f t="shared" si="179"/>
        <v>700</v>
      </c>
      <c r="P1220" s="92">
        <f t="shared" si="180"/>
        <v>700</v>
      </c>
      <c r="Q1220" s="361">
        <f t="shared" si="181"/>
        <v>100</v>
      </c>
    </row>
    <row r="1221" spans="2:17" x14ac:dyDescent="0.2">
      <c r="B1221" s="18">
        <f t="shared" si="185"/>
        <v>726</v>
      </c>
      <c r="C1221" s="6"/>
      <c r="D1221" s="6"/>
      <c r="E1221" s="6"/>
      <c r="F1221" s="90" t="s">
        <v>49</v>
      </c>
      <c r="G1221" s="2">
        <v>710</v>
      </c>
      <c r="H1221" s="3" t="s">
        <v>175</v>
      </c>
      <c r="I1221" s="4"/>
      <c r="J1221" s="4"/>
      <c r="K1221" s="361"/>
      <c r="L1221" s="4">
        <f>L1222</f>
        <v>3115</v>
      </c>
      <c r="M1221" s="4">
        <f>M1222</f>
        <v>0</v>
      </c>
      <c r="N1221" s="361">
        <f>M1221/L1221*100</f>
        <v>0</v>
      </c>
      <c r="O1221" s="92">
        <f t="shared" si="179"/>
        <v>3115</v>
      </c>
      <c r="P1221" s="92">
        <f t="shared" si="180"/>
        <v>0</v>
      </c>
      <c r="Q1221" s="361">
        <f t="shared" si="181"/>
        <v>0</v>
      </c>
    </row>
    <row r="1222" spans="2:17" x14ac:dyDescent="0.2">
      <c r="B1222" s="18">
        <f t="shared" si="185"/>
        <v>727</v>
      </c>
      <c r="C1222" s="6"/>
      <c r="D1222" s="6"/>
      <c r="E1222" s="6"/>
      <c r="F1222" s="90"/>
      <c r="G1222" s="5">
        <v>713</v>
      </c>
      <c r="H1222" s="6" t="s">
        <v>218</v>
      </c>
      <c r="I1222" s="4"/>
      <c r="J1222" s="4"/>
      <c r="K1222" s="361"/>
      <c r="L1222" s="7">
        <f>L1223</f>
        <v>3115</v>
      </c>
      <c r="M1222" s="7">
        <f>M1223</f>
        <v>0</v>
      </c>
      <c r="N1222" s="361">
        <f>M1222/L1222*100</f>
        <v>0</v>
      </c>
      <c r="O1222" s="95">
        <f t="shared" si="179"/>
        <v>3115</v>
      </c>
      <c r="P1222" s="95">
        <f t="shared" si="180"/>
        <v>0</v>
      </c>
      <c r="Q1222" s="361">
        <f t="shared" si="181"/>
        <v>0</v>
      </c>
    </row>
    <row r="1223" spans="2:17" x14ac:dyDescent="0.2">
      <c r="B1223" s="18">
        <f t="shared" si="185"/>
        <v>728</v>
      </c>
      <c r="C1223" s="6"/>
      <c r="D1223" s="6"/>
      <c r="E1223" s="6"/>
      <c r="F1223" s="90"/>
      <c r="G1223" s="106"/>
      <c r="H1223" s="9" t="s">
        <v>718</v>
      </c>
      <c r="I1223" s="4"/>
      <c r="J1223" s="4"/>
      <c r="K1223" s="361"/>
      <c r="L1223" s="10">
        <v>3115</v>
      </c>
      <c r="M1223" s="10">
        <v>0</v>
      </c>
      <c r="N1223" s="361">
        <f>M1223/L1223*100</f>
        <v>0</v>
      </c>
      <c r="O1223" s="108">
        <f t="shared" si="179"/>
        <v>3115</v>
      </c>
      <c r="P1223" s="108">
        <f t="shared" si="180"/>
        <v>0</v>
      </c>
      <c r="Q1223" s="361">
        <f t="shared" si="181"/>
        <v>0</v>
      </c>
    </row>
    <row r="1224" spans="2:17" ht="15" x14ac:dyDescent="0.25">
      <c r="B1224" s="18">
        <f t="shared" si="185"/>
        <v>729</v>
      </c>
      <c r="C1224" s="176"/>
      <c r="D1224" s="176"/>
      <c r="E1224" s="176">
        <v>9</v>
      </c>
      <c r="F1224" s="177"/>
      <c r="G1224" s="177"/>
      <c r="H1224" s="176" t="s">
        <v>4</v>
      </c>
      <c r="I1224" s="178">
        <f>I1225+I1226+I1227+I1232+I1233+I1234+I1235+I1240</f>
        <v>454029</v>
      </c>
      <c r="J1224" s="178">
        <f>J1225+J1226+J1227+J1232+J1233+J1234+J1235+J1240</f>
        <v>416703</v>
      </c>
      <c r="K1224" s="361">
        <f t="shared" ref="K1224:K1240" si="186">J1224/I1224*100</f>
        <v>91.778939230753991</v>
      </c>
      <c r="L1224" s="178">
        <f>L1241</f>
        <v>26981</v>
      </c>
      <c r="M1224" s="178">
        <f>M1241</f>
        <v>26981</v>
      </c>
      <c r="N1224" s="361">
        <f>M1224/L1224*100</f>
        <v>100</v>
      </c>
      <c r="O1224" s="179">
        <f t="shared" si="179"/>
        <v>481010</v>
      </c>
      <c r="P1224" s="179">
        <f t="shared" si="180"/>
        <v>443684</v>
      </c>
      <c r="Q1224" s="361">
        <f t="shared" si="181"/>
        <v>92.240078168853032</v>
      </c>
    </row>
    <row r="1225" spans="2:17" x14ac:dyDescent="0.2">
      <c r="B1225" s="18">
        <f t="shared" si="185"/>
        <v>730</v>
      </c>
      <c r="C1225" s="3"/>
      <c r="D1225" s="3"/>
      <c r="E1225" s="3"/>
      <c r="F1225" s="90" t="s">
        <v>79</v>
      </c>
      <c r="G1225" s="2">
        <v>610</v>
      </c>
      <c r="H1225" s="3" t="s">
        <v>131</v>
      </c>
      <c r="I1225" s="4">
        <f>57290-5000+5000-600-202</f>
        <v>56488</v>
      </c>
      <c r="J1225" s="4">
        <v>56488</v>
      </c>
      <c r="K1225" s="361">
        <f t="shared" si="186"/>
        <v>100</v>
      </c>
      <c r="L1225" s="4"/>
      <c r="M1225" s="4"/>
      <c r="N1225" s="361"/>
      <c r="O1225" s="92">
        <f t="shared" si="179"/>
        <v>56488</v>
      </c>
      <c r="P1225" s="92">
        <f t="shared" si="180"/>
        <v>56488</v>
      </c>
      <c r="Q1225" s="361">
        <f t="shared" si="181"/>
        <v>100</v>
      </c>
    </row>
    <row r="1226" spans="2:17" x14ac:dyDescent="0.2">
      <c r="B1226" s="18">
        <f t="shared" si="185"/>
        <v>731</v>
      </c>
      <c r="C1226" s="3"/>
      <c r="D1226" s="3"/>
      <c r="E1226" s="3"/>
      <c r="F1226" s="90" t="s">
        <v>79</v>
      </c>
      <c r="G1226" s="2">
        <v>620</v>
      </c>
      <c r="H1226" s="3" t="s">
        <v>124</v>
      </c>
      <c r="I1226" s="4">
        <f>20590-4000+4000</f>
        <v>20590</v>
      </c>
      <c r="J1226" s="4">
        <v>20590</v>
      </c>
      <c r="K1226" s="361">
        <f t="shared" si="186"/>
        <v>100</v>
      </c>
      <c r="L1226" s="4"/>
      <c r="M1226" s="4"/>
      <c r="N1226" s="361"/>
      <c r="O1226" s="92">
        <f t="shared" si="179"/>
        <v>20590</v>
      </c>
      <c r="P1226" s="92">
        <f t="shared" si="180"/>
        <v>20590</v>
      </c>
      <c r="Q1226" s="361">
        <f t="shared" si="181"/>
        <v>100</v>
      </c>
    </row>
    <row r="1227" spans="2:17" x14ac:dyDescent="0.2">
      <c r="B1227" s="18">
        <f t="shared" si="185"/>
        <v>732</v>
      </c>
      <c r="C1227" s="3"/>
      <c r="D1227" s="3"/>
      <c r="E1227" s="3"/>
      <c r="F1227" s="90" t="s">
        <v>79</v>
      </c>
      <c r="G1227" s="2">
        <v>630</v>
      </c>
      <c r="H1227" s="3" t="s">
        <v>121</v>
      </c>
      <c r="I1227" s="4">
        <f>I1231+I1230+I1229+I1228</f>
        <v>133629</v>
      </c>
      <c r="J1227" s="4">
        <f>J1231+J1230+J1229+J1228</f>
        <v>119202</v>
      </c>
      <c r="K1227" s="361">
        <f t="shared" si="186"/>
        <v>89.203690815616369</v>
      </c>
      <c r="L1227" s="4"/>
      <c r="M1227" s="4"/>
      <c r="N1227" s="361"/>
      <c r="O1227" s="92">
        <f t="shared" si="179"/>
        <v>133629</v>
      </c>
      <c r="P1227" s="92">
        <f t="shared" si="180"/>
        <v>119202</v>
      </c>
      <c r="Q1227" s="361">
        <f t="shared" si="181"/>
        <v>89.203690815616369</v>
      </c>
    </row>
    <row r="1228" spans="2:17" x14ac:dyDescent="0.2">
      <c r="B1228" s="18">
        <f t="shared" si="185"/>
        <v>733</v>
      </c>
      <c r="C1228" s="6"/>
      <c r="D1228" s="6"/>
      <c r="E1228" s="6"/>
      <c r="F1228" s="93"/>
      <c r="G1228" s="5">
        <v>632</v>
      </c>
      <c r="H1228" s="6" t="s">
        <v>134</v>
      </c>
      <c r="I1228" s="7">
        <f>1000+200+6000+15000-5000</f>
        <v>17200</v>
      </c>
      <c r="J1228" s="7">
        <v>10392</v>
      </c>
      <c r="K1228" s="361">
        <f t="shared" si="186"/>
        <v>60.418604651162788</v>
      </c>
      <c r="L1228" s="7"/>
      <c r="M1228" s="7"/>
      <c r="N1228" s="361"/>
      <c r="O1228" s="95">
        <f t="shared" si="179"/>
        <v>17200</v>
      </c>
      <c r="P1228" s="95">
        <f t="shared" si="180"/>
        <v>10392</v>
      </c>
      <c r="Q1228" s="361">
        <f t="shared" si="181"/>
        <v>60.418604651162788</v>
      </c>
    </row>
    <row r="1229" spans="2:17" x14ac:dyDescent="0.2">
      <c r="B1229" s="18">
        <f t="shared" si="185"/>
        <v>734</v>
      </c>
      <c r="C1229" s="6"/>
      <c r="D1229" s="6"/>
      <c r="E1229" s="6"/>
      <c r="F1229" s="93"/>
      <c r="G1229" s="5">
        <v>633</v>
      </c>
      <c r="H1229" s="6" t="s">
        <v>125</v>
      </c>
      <c r="I1229" s="7">
        <f>110704+1500+500-17000</f>
        <v>95704</v>
      </c>
      <c r="J1229" s="7">
        <v>88085</v>
      </c>
      <c r="K1229" s="361">
        <f t="shared" si="186"/>
        <v>92.038995235308874</v>
      </c>
      <c r="L1229" s="7"/>
      <c r="M1229" s="7"/>
      <c r="N1229" s="361"/>
      <c r="O1229" s="95">
        <f t="shared" si="179"/>
        <v>95704</v>
      </c>
      <c r="P1229" s="95">
        <f t="shared" si="180"/>
        <v>88085</v>
      </c>
      <c r="Q1229" s="361">
        <f t="shared" si="181"/>
        <v>92.038995235308874</v>
      </c>
    </row>
    <row r="1230" spans="2:17" x14ac:dyDescent="0.2">
      <c r="B1230" s="18">
        <f t="shared" si="185"/>
        <v>735</v>
      </c>
      <c r="C1230" s="6"/>
      <c r="D1230" s="6"/>
      <c r="E1230" s="6"/>
      <c r="F1230" s="93"/>
      <c r="G1230" s="5">
        <v>635</v>
      </c>
      <c r="H1230" s="6" t="s">
        <v>133</v>
      </c>
      <c r="I1230" s="7">
        <v>11000</v>
      </c>
      <c r="J1230" s="7">
        <v>11000</v>
      </c>
      <c r="K1230" s="361">
        <f t="shared" si="186"/>
        <v>100</v>
      </c>
      <c r="L1230" s="7"/>
      <c r="M1230" s="7"/>
      <c r="N1230" s="361"/>
      <c r="O1230" s="95">
        <f t="shared" si="179"/>
        <v>11000</v>
      </c>
      <c r="P1230" s="95">
        <f t="shared" si="180"/>
        <v>11000</v>
      </c>
      <c r="Q1230" s="361">
        <f t="shared" si="181"/>
        <v>100</v>
      </c>
    </row>
    <row r="1231" spans="2:17" x14ac:dyDescent="0.2">
      <c r="B1231" s="18">
        <f t="shared" si="185"/>
        <v>736</v>
      </c>
      <c r="C1231" s="6"/>
      <c r="D1231" s="6"/>
      <c r="E1231" s="6"/>
      <c r="F1231" s="93"/>
      <c r="G1231" s="5">
        <v>637</v>
      </c>
      <c r="H1231" s="6" t="s">
        <v>122</v>
      </c>
      <c r="I1231" s="7">
        <v>9725</v>
      </c>
      <c r="J1231" s="7">
        <v>9725</v>
      </c>
      <c r="K1231" s="361">
        <f t="shared" si="186"/>
        <v>100</v>
      </c>
      <c r="L1231" s="7"/>
      <c r="M1231" s="7"/>
      <c r="N1231" s="361"/>
      <c r="O1231" s="95">
        <f t="shared" si="179"/>
        <v>9725</v>
      </c>
      <c r="P1231" s="95">
        <f t="shared" si="180"/>
        <v>9725</v>
      </c>
      <c r="Q1231" s="361">
        <f t="shared" si="181"/>
        <v>100</v>
      </c>
    </row>
    <row r="1232" spans="2:17" x14ac:dyDescent="0.2">
      <c r="B1232" s="18">
        <f t="shared" si="185"/>
        <v>737</v>
      </c>
      <c r="C1232" s="3"/>
      <c r="D1232" s="3"/>
      <c r="E1232" s="3"/>
      <c r="F1232" s="90" t="s">
        <v>79</v>
      </c>
      <c r="G1232" s="2">
        <v>640</v>
      </c>
      <c r="H1232" s="3" t="s">
        <v>129</v>
      </c>
      <c r="I1232" s="4">
        <f>500+600+202</f>
        <v>1302</v>
      </c>
      <c r="J1232" s="4">
        <v>1302</v>
      </c>
      <c r="K1232" s="361">
        <f t="shared" si="186"/>
        <v>100</v>
      </c>
      <c r="L1232" s="4"/>
      <c r="M1232" s="4"/>
      <c r="N1232" s="361"/>
      <c r="O1232" s="92">
        <f t="shared" si="179"/>
        <v>1302</v>
      </c>
      <c r="P1232" s="92">
        <f t="shared" si="180"/>
        <v>1302</v>
      </c>
      <c r="Q1232" s="361">
        <f t="shared" si="181"/>
        <v>100</v>
      </c>
    </row>
    <row r="1233" spans="2:17" x14ac:dyDescent="0.2">
      <c r="B1233" s="18">
        <f t="shared" si="185"/>
        <v>738</v>
      </c>
      <c r="C1233" s="3"/>
      <c r="D1233" s="3"/>
      <c r="E1233" s="3"/>
      <c r="F1233" s="90" t="s">
        <v>49</v>
      </c>
      <c r="G1233" s="2">
        <v>610</v>
      </c>
      <c r="H1233" s="3" t="s">
        <v>131</v>
      </c>
      <c r="I1233" s="4">
        <f>57290-700+700-600-202</f>
        <v>56488</v>
      </c>
      <c r="J1233" s="4">
        <v>56488</v>
      </c>
      <c r="K1233" s="361">
        <f t="shared" si="186"/>
        <v>100</v>
      </c>
      <c r="L1233" s="4"/>
      <c r="M1233" s="4"/>
      <c r="N1233" s="361"/>
      <c r="O1233" s="92">
        <f t="shared" si="179"/>
        <v>56488</v>
      </c>
      <c r="P1233" s="92">
        <f t="shared" si="180"/>
        <v>56488</v>
      </c>
      <c r="Q1233" s="361">
        <f t="shared" si="181"/>
        <v>100</v>
      </c>
    </row>
    <row r="1234" spans="2:17" x14ac:dyDescent="0.2">
      <c r="B1234" s="18">
        <f t="shared" si="185"/>
        <v>739</v>
      </c>
      <c r="C1234" s="3"/>
      <c r="D1234" s="3"/>
      <c r="E1234" s="3"/>
      <c r="F1234" s="90" t="s">
        <v>49</v>
      </c>
      <c r="G1234" s="2">
        <v>620</v>
      </c>
      <c r="H1234" s="3" t="s">
        <v>124</v>
      </c>
      <c r="I1234" s="4">
        <v>20590</v>
      </c>
      <c r="J1234" s="4">
        <v>20590</v>
      </c>
      <c r="K1234" s="361">
        <f t="shared" si="186"/>
        <v>100</v>
      </c>
      <c r="L1234" s="4"/>
      <c r="M1234" s="4"/>
      <c r="N1234" s="361"/>
      <c r="O1234" s="92">
        <f t="shared" si="179"/>
        <v>20590</v>
      </c>
      <c r="P1234" s="92">
        <f t="shared" si="180"/>
        <v>20590</v>
      </c>
      <c r="Q1234" s="361">
        <f t="shared" si="181"/>
        <v>100</v>
      </c>
    </row>
    <row r="1235" spans="2:17" x14ac:dyDescent="0.2">
      <c r="B1235" s="18">
        <f t="shared" si="185"/>
        <v>740</v>
      </c>
      <c r="C1235" s="3"/>
      <c r="D1235" s="3"/>
      <c r="E1235" s="3"/>
      <c r="F1235" s="90" t="s">
        <v>49</v>
      </c>
      <c r="G1235" s="2">
        <v>630</v>
      </c>
      <c r="H1235" s="3" t="s">
        <v>121</v>
      </c>
      <c r="I1235" s="4">
        <f>I1239+I1238+I1237+I1236</f>
        <v>162328</v>
      </c>
      <c r="J1235" s="4">
        <f>J1239+J1238+J1237+J1236</f>
        <v>139439</v>
      </c>
      <c r="K1235" s="361">
        <f t="shared" si="186"/>
        <v>85.899536740426782</v>
      </c>
      <c r="L1235" s="4"/>
      <c r="M1235" s="4"/>
      <c r="N1235" s="361"/>
      <c r="O1235" s="92">
        <f t="shared" si="179"/>
        <v>162328</v>
      </c>
      <c r="P1235" s="92">
        <f t="shared" si="180"/>
        <v>139439</v>
      </c>
      <c r="Q1235" s="361">
        <f t="shared" si="181"/>
        <v>85.899536740426782</v>
      </c>
    </row>
    <row r="1236" spans="2:17" x14ac:dyDescent="0.2">
      <c r="B1236" s="18">
        <f t="shared" si="185"/>
        <v>741</v>
      </c>
      <c r="C1236" s="6"/>
      <c r="D1236" s="6"/>
      <c r="E1236" s="6"/>
      <c r="F1236" s="93"/>
      <c r="G1236" s="5">
        <v>632</v>
      </c>
      <c r="H1236" s="6" t="s">
        <v>134</v>
      </c>
      <c r="I1236" s="7">
        <f>200+15000+6000+1000-5000</f>
        <v>17200</v>
      </c>
      <c r="J1236" s="7">
        <v>10392</v>
      </c>
      <c r="K1236" s="361">
        <f t="shared" si="186"/>
        <v>60.418604651162788</v>
      </c>
      <c r="L1236" s="7"/>
      <c r="M1236" s="7"/>
      <c r="N1236" s="361"/>
      <c r="O1236" s="95">
        <f t="shared" si="179"/>
        <v>17200</v>
      </c>
      <c r="P1236" s="95">
        <f t="shared" si="180"/>
        <v>10392</v>
      </c>
      <c r="Q1236" s="361">
        <f t="shared" si="181"/>
        <v>60.418604651162788</v>
      </c>
    </row>
    <row r="1237" spans="2:17" x14ac:dyDescent="0.2">
      <c r="B1237" s="18">
        <f t="shared" si="185"/>
        <v>742</v>
      </c>
      <c r="C1237" s="6"/>
      <c r="D1237" s="6"/>
      <c r="E1237" s="6"/>
      <c r="F1237" s="93"/>
      <c r="G1237" s="5">
        <v>633</v>
      </c>
      <c r="H1237" s="6" t="s">
        <v>125</v>
      </c>
      <c r="I1237" s="7">
        <f>83028+1500+500+34380+613-7356+11855-117</f>
        <v>124403</v>
      </c>
      <c r="J1237" s="7">
        <v>108581</v>
      </c>
      <c r="K1237" s="361">
        <f t="shared" si="186"/>
        <v>87.28165719476219</v>
      </c>
      <c r="L1237" s="7"/>
      <c r="M1237" s="7"/>
      <c r="N1237" s="361"/>
      <c r="O1237" s="95">
        <f t="shared" si="179"/>
        <v>124403</v>
      </c>
      <c r="P1237" s="95">
        <f t="shared" si="180"/>
        <v>108581</v>
      </c>
      <c r="Q1237" s="361">
        <f t="shared" si="181"/>
        <v>87.28165719476219</v>
      </c>
    </row>
    <row r="1238" spans="2:17" x14ac:dyDescent="0.2">
      <c r="B1238" s="18">
        <f t="shared" si="185"/>
        <v>743</v>
      </c>
      <c r="C1238" s="6"/>
      <c r="D1238" s="6"/>
      <c r="E1238" s="6"/>
      <c r="F1238" s="93"/>
      <c r="G1238" s="5">
        <v>635</v>
      </c>
      <c r="H1238" s="6" t="s">
        <v>133</v>
      </c>
      <c r="I1238" s="7">
        <v>11000</v>
      </c>
      <c r="J1238" s="7">
        <v>11000</v>
      </c>
      <c r="K1238" s="361">
        <f t="shared" si="186"/>
        <v>100</v>
      </c>
      <c r="L1238" s="7"/>
      <c r="M1238" s="7"/>
      <c r="N1238" s="361"/>
      <c r="O1238" s="95">
        <f t="shared" si="179"/>
        <v>11000</v>
      </c>
      <c r="P1238" s="95">
        <f t="shared" si="180"/>
        <v>11000</v>
      </c>
      <c r="Q1238" s="361">
        <f t="shared" si="181"/>
        <v>100</v>
      </c>
    </row>
    <row r="1239" spans="2:17" x14ac:dyDescent="0.2">
      <c r="B1239" s="18">
        <f t="shared" si="185"/>
        <v>744</v>
      </c>
      <c r="C1239" s="6"/>
      <c r="D1239" s="6"/>
      <c r="E1239" s="6"/>
      <c r="F1239" s="93"/>
      <c r="G1239" s="5">
        <v>637</v>
      </c>
      <c r="H1239" s="6" t="s">
        <v>122</v>
      </c>
      <c r="I1239" s="7">
        <f>150+2875+600+100+6000</f>
        <v>9725</v>
      </c>
      <c r="J1239" s="7">
        <v>9466</v>
      </c>
      <c r="K1239" s="361">
        <f t="shared" si="186"/>
        <v>97.336760925449866</v>
      </c>
      <c r="L1239" s="7"/>
      <c r="M1239" s="7"/>
      <c r="N1239" s="361"/>
      <c r="O1239" s="95">
        <f t="shared" si="179"/>
        <v>9725</v>
      </c>
      <c r="P1239" s="95">
        <f t="shared" si="180"/>
        <v>9466</v>
      </c>
      <c r="Q1239" s="361">
        <f t="shared" si="181"/>
        <v>97.336760925449866</v>
      </c>
    </row>
    <row r="1240" spans="2:17" x14ac:dyDescent="0.2">
      <c r="B1240" s="18">
        <f t="shared" si="185"/>
        <v>745</v>
      </c>
      <c r="C1240" s="3"/>
      <c r="D1240" s="3"/>
      <c r="E1240" s="3"/>
      <c r="F1240" s="90" t="s">
        <v>49</v>
      </c>
      <c r="G1240" s="2">
        <v>640</v>
      </c>
      <c r="H1240" s="3" t="s">
        <v>129</v>
      </c>
      <c r="I1240" s="4">
        <f>500+700-700+600+1397+117</f>
        <v>2614</v>
      </c>
      <c r="J1240" s="4">
        <v>2604</v>
      </c>
      <c r="K1240" s="361">
        <f t="shared" si="186"/>
        <v>99.617444529456762</v>
      </c>
      <c r="L1240" s="4"/>
      <c r="M1240" s="4"/>
      <c r="N1240" s="361"/>
      <c r="O1240" s="92">
        <f t="shared" ref="O1240:O1303" si="187">I1240+L1240</f>
        <v>2614</v>
      </c>
      <c r="P1240" s="92">
        <f t="shared" ref="P1240:P1303" si="188">J1240+M1240</f>
        <v>2604</v>
      </c>
      <c r="Q1240" s="361">
        <f t="shared" si="181"/>
        <v>99.617444529456762</v>
      </c>
    </row>
    <row r="1241" spans="2:17" x14ac:dyDescent="0.2">
      <c r="B1241" s="18">
        <f t="shared" si="185"/>
        <v>746</v>
      </c>
      <c r="C1241" s="3"/>
      <c r="D1241" s="3"/>
      <c r="E1241" s="3"/>
      <c r="F1241" s="90" t="s">
        <v>49</v>
      </c>
      <c r="G1241" s="2">
        <v>710</v>
      </c>
      <c r="H1241" s="3" t="s">
        <v>175</v>
      </c>
      <c r="I1241" s="4"/>
      <c r="J1241" s="4"/>
      <c r="K1241" s="361"/>
      <c r="L1241" s="4">
        <f>L1242</f>
        <v>26981</v>
      </c>
      <c r="M1241" s="4">
        <f>M1242</f>
        <v>26981</v>
      </c>
      <c r="N1241" s="361">
        <f>M1241/L1241*100</f>
        <v>100</v>
      </c>
      <c r="O1241" s="92">
        <f t="shared" si="187"/>
        <v>26981</v>
      </c>
      <c r="P1241" s="92">
        <f t="shared" si="188"/>
        <v>26981</v>
      </c>
      <c r="Q1241" s="361">
        <f t="shared" si="181"/>
        <v>100</v>
      </c>
    </row>
    <row r="1242" spans="2:17" x14ac:dyDescent="0.2">
      <c r="B1242" s="18">
        <f t="shared" si="185"/>
        <v>747</v>
      </c>
      <c r="C1242" s="3"/>
      <c r="D1242" s="3"/>
      <c r="E1242" s="3"/>
      <c r="F1242" s="90"/>
      <c r="G1242" s="5">
        <v>713</v>
      </c>
      <c r="H1242" s="6" t="s">
        <v>218</v>
      </c>
      <c r="I1242" s="4"/>
      <c r="J1242" s="4"/>
      <c r="K1242" s="361"/>
      <c r="L1242" s="7">
        <f>L1244+L1243</f>
        <v>26981</v>
      </c>
      <c r="M1242" s="7">
        <f>M1244+M1243</f>
        <v>26981</v>
      </c>
      <c r="N1242" s="361">
        <f>M1242/L1242*100</f>
        <v>100</v>
      </c>
      <c r="O1242" s="95">
        <f t="shared" si="187"/>
        <v>26981</v>
      </c>
      <c r="P1242" s="95">
        <f t="shared" si="188"/>
        <v>26981</v>
      </c>
      <c r="Q1242" s="361">
        <f t="shared" ref="Q1242:Q1305" si="189">P1242/O1242*100</f>
        <v>100</v>
      </c>
    </row>
    <row r="1243" spans="2:17" x14ac:dyDescent="0.2">
      <c r="B1243" s="18">
        <f t="shared" si="185"/>
        <v>748</v>
      </c>
      <c r="C1243" s="3"/>
      <c r="D1243" s="3"/>
      <c r="E1243" s="3"/>
      <c r="F1243" s="90"/>
      <c r="G1243" s="5"/>
      <c r="H1243" s="9" t="s">
        <v>719</v>
      </c>
      <c r="I1243" s="4"/>
      <c r="J1243" s="4"/>
      <c r="K1243" s="361"/>
      <c r="L1243" s="10">
        <v>17878</v>
      </c>
      <c r="M1243" s="10">
        <v>17878</v>
      </c>
      <c r="N1243" s="361">
        <f>M1243/L1243*100</f>
        <v>100</v>
      </c>
      <c r="O1243" s="108">
        <f t="shared" si="187"/>
        <v>17878</v>
      </c>
      <c r="P1243" s="108">
        <f t="shared" si="188"/>
        <v>17878</v>
      </c>
      <c r="Q1243" s="361">
        <f t="shared" si="189"/>
        <v>100</v>
      </c>
    </row>
    <row r="1244" spans="2:17" x14ac:dyDescent="0.2">
      <c r="B1244" s="18">
        <f t="shared" si="185"/>
        <v>749</v>
      </c>
      <c r="C1244" s="3"/>
      <c r="D1244" s="3"/>
      <c r="E1244" s="3"/>
      <c r="F1244" s="90"/>
      <c r="G1244" s="106"/>
      <c r="H1244" s="9" t="s">
        <v>707</v>
      </c>
      <c r="I1244" s="4"/>
      <c r="J1244" s="4"/>
      <c r="K1244" s="361"/>
      <c r="L1244" s="10">
        <f>7356+1747</f>
        <v>9103</v>
      </c>
      <c r="M1244" s="10">
        <v>9103</v>
      </c>
      <c r="N1244" s="361">
        <f>M1244/L1244*100</f>
        <v>100</v>
      </c>
      <c r="O1244" s="108">
        <f t="shared" si="187"/>
        <v>9103</v>
      </c>
      <c r="P1244" s="108">
        <f t="shared" si="188"/>
        <v>9103</v>
      </c>
      <c r="Q1244" s="361">
        <f t="shared" si="189"/>
        <v>100</v>
      </c>
    </row>
    <row r="1245" spans="2:17" ht="15" x14ac:dyDescent="0.25">
      <c r="B1245" s="18">
        <f t="shared" si="185"/>
        <v>750</v>
      </c>
      <c r="C1245" s="176"/>
      <c r="D1245" s="176"/>
      <c r="E1245" s="176">
        <v>10</v>
      </c>
      <c r="F1245" s="177"/>
      <c r="G1245" s="177"/>
      <c r="H1245" s="176" t="s">
        <v>0</v>
      </c>
      <c r="I1245" s="178">
        <f>I1246+I1248+I1249+I1250+I1255+I1256+I1257+I1258+I1263</f>
        <v>479097</v>
      </c>
      <c r="J1245" s="178">
        <f>J1246+J1248+J1249+J1250+J1255+J1256+J1257+J1258+J1263</f>
        <v>422229</v>
      </c>
      <c r="K1245" s="361">
        <f t="shared" ref="K1245:K1263" si="190">J1245/I1245*100</f>
        <v>88.130169882090684</v>
      </c>
      <c r="L1245" s="178">
        <f>L1264</f>
        <v>18954</v>
      </c>
      <c r="M1245" s="178">
        <f>M1264</f>
        <v>18945</v>
      </c>
      <c r="N1245" s="361">
        <f>M1245/L1245*100</f>
        <v>99.952516619183285</v>
      </c>
      <c r="O1245" s="179">
        <f t="shared" si="187"/>
        <v>498051</v>
      </c>
      <c r="P1245" s="179">
        <f t="shared" si="188"/>
        <v>441174</v>
      </c>
      <c r="Q1245" s="361">
        <f t="shared" si="189"/>
        <v>88.580085172000452</v>
      </c>
    </row>
    <row r="1246" spans="2:17" x14ac:dyDescent="0.2">
      <c r="B1246" s="18">
        <f t="shared" ref="B1246:B1277" si="191">B1245+1</f>
        <v>751</v>
      </c>
      <c r="C1246" s="3"/>
      <c r="D1246" s="3"/>
      <c r="E1246" s="3"/>
      <c r="F1246" s="90" t="s">
        <v>160</v>
      </c>
      <c r="G1246" s="2">
        <v>630</v>
      </c>
      <c r="H1246" s="3" t="s">
        <v>121</v>
      </c>
      <c r="I1246" s="4">
        <f>I1247</f>
        <v>50891</v>
      </c>
      <c r="J1246" s="4">
        <f>J1247</f>
        <v>41978</v>
      </c>
      <c r="K1246" s="361">
        <f t="shared" si="190"/>
        <v>82.486097738303428</v>
      </c>
      <c r="L1246" s="4"/>
      <c r="M1246" s="4"/>
      <c r="N1246" s="361"/>
      <c r="O1246" s="92">
        <f t="shared" si="187"/>
        <v>50891</v>
      </c>
      <c r="P1246" s="92">
        <f t="shared" si="188"/>
        <v>41978</v>
      </c>
      <c r="Q1246" s="361">
        <f t="shared" si="189"/>
        <v>82.486097738303428</v>
      </c>
    </row>
    <row r="1247" spans="2:17" x14ac:dyDescent="0.2">
      <c r="B1247" s="18">
        <f t="shared" si="191"/>
        <v>752</v>
      </c>
      <c r="C1247" s="6"/>
      <c r="D1247" s="6"/>
      <c r="E1247" s="6"/>
      <c r="F1247" s="93"/>
      <c r="G1247" s="5">
        <v>633</v>
      </c>
      <c r="H1247" s="6" t="s">
        <v>125</v>
      </c>
      <c r="I1247" s="7">
        <f>75891-25000</f>
        <v>50891</v>
      </c>
      <c r="J1247" s="7">
        <v>41978</v>
      </c>
      <c r="K1247" s="361">
        <f t="shared" si="190"/>
        <v>82.486097738303428</v>
      </c>
      <c r="L1247" s="7"/>
      <c r="M1247" s="7"/>
      <c r="N1247" s="361"/>
      <c r="O1247" s="95">
        <f t="shared" si="187"/>
        <v>50891</v>
      </c>
      <c r="P1247" s="95">
        <f t="shared" si="188"/>
        <v>41978</v>
      </c>
      <c r="Q1247" s="361">
        <f t="shared" si="189"/>
        <v>82.486097738303428</v>
      </c>
    </row>
    <row r="1248" spans="2:17" x14ac:dyDescent="0.2">
      <c r="B1248" s="18">
        <f t="shared" si="191"/>
        <v>753</v>
      </c>
      <c r="C1248" s="3"/>
      <c r="D1248" s="3"/>
      <c r="E1248" s="3"/>
      <c r="F1248" s="90" t="s">
        <v>79</v>
      </c>
      <c r="G1248" s="2">
        <v>610</v>
      </c>
      <c r="H1248" s="3" t="s">
        <v>131</v>
      </c>
      <c r="I1248" s="4">
        <f>53200+1200-207</f>
        <v>54193</v>
      </c>
      <c r="J1248" s="4">
        <v>54193</v>
      </c>
      <c r="K1248" s="361">
        <f t="shared" si="190"/>
        <v>100</v>
      </c>
      <c r="L1248" s="4"/>
      <c r="M1248" s="4"/>
      <c r="N1248" s="361"/>
      <c r="O1248" s="92">
        <f t="shared" si="187"/>
        <v>54193</v>
      </c>
      <c r="P1248" s="92">
        <f t="shared" si="188"/>
        <v>54193</v>
      </c>
      <c r="Q1248" s="361">
        <f t="shared" si="189"/>
        <v>100</v>
      </c>
    </row>
    <row r="1249" spans="2:17" x14ac:dyDescent="0.2">
      <c r="B1249" s="18">
        <f t="shared" si="191"/>
        <v>754</v>
      </c>
      <c r="C1249" s="3"/>
      <c r="D1249" s="3"/>
      <c r="E1249" s="3"/>
      <c r="F1249" s="90" t="s">
        <v>79</v>
      </c>
      <c r="G1249" s="2">
        <v>620</v>
      </c>
      <c r="H1249" s="3" t="s">
        <v>124</v>
      </c>
      <c r="I1249" s="4">
        <f>18944+430+110</f>
        <v>19484</v>
      </c>
      <c r="J1249" s="4">
        <v>19484</v>
      </c>
      <c r="K1249" s="361">
        <f t="shared" si="190"/>
        <v>100</v>
      </c>
      <c r="L1249" s="4"/>
      <c r="M1249" s="4"/>
      <c r="N1249" s="361"/>
      <c r="O1249" s="92">
        <f t="shared" si="187"/>
        <v>19484</v>
      </c>
      <c r="P1249" s="92">
        <f t="shared" si="188"/>
        <v>19484</v>
      </c>
      <c r="Q1249" s="361">
        <f t="shared" si="189"/>
        <v>100</v>
      </c>
    </row>
    <row r="1250" spans="2:17" x14ac:dyDescent="0.2">
      <c r="B1250" s="18">
        <f t="shared" si="191"/>
        <v>755</v>
      </c>
      <c r="C1250" s="3"/>
      <c r="D1250" s="3"/>
      <c r="E1250" s="3"/>
      <c r="F1250" s="90" t="s">
        <v>79</v>
      </c>
      <c r="G1250" s="2">
        <v>630</v>
      </c>
      <c r="H1250" s="3" t="s">
        <v>121</v>
      </c>
      <c r="I1250" s="4">
        <f>SUM(I1251:I1254)</f>
        <v>85962</v>
      </c>
      <c r="J1250" s="4">
        <f>SUM(J1251:J1254)</f>
        <v>69906</v>
      </c>
      <c r="K1250" s="361">
        <f t="shared" si="190"/>
        <v>81.321979479304801</v>
      </c>
      <c r="L1250" s="4"/>
      <c r="M1250" s="4"/>
      <c r="N1250" s="361"/>
      <c r="O1250" s="92">
        <f t="shared" si="187"/>
        <v>85962</v>
      </c>
      <c r="P1250" s="92">
        <f t="shared" si="188"/>
        <v>69906</v>
      </c>
      <c r="Q1250" s="361">
        <f t="shared" si="189"/>
        <v>81.321979479304801</v>
      </c>
    </row>
    <row r="1251" spans="2:17" x14ac:dyDescent="0.2">
      <c r="B1251" s="18">
        <f t="shared" si="191"/>
        <v>756</v>
      </c>
      <c r="C1251" s="6"/>
      <c r="D1251" s="6"/>
      <c r="E1251" s="6"/>
      <c r="F1251" s="93"/>
      <c r="G1251" s="5">
        <v>632</v>
      </c>
      <c r="H1251" s="6" t="s">
        <v>134</v>
      </c>
      <c r="I1251" s="7">
        <f>500+1000+1095+7905+1800-3500</f>
        <v>8800</v>
      </c>
      <c r="J1251" s="7">
        <v>7925</v>
      </c>
      <c r="K1251" s="361">
        <f t="shared" si="190"/>
        <v>90.056818181818173</v>
      </c>
      <c r="L1251" s="7"/>
      <c r="M1251" s="7"/>
      <c r="N1251" s="361"/>
      <c r="O1251" s="95">
        <f t="shared" si="187"/>
        <v>8800</v>
      </c>
      <c r="P1251" s="95">
        <f t="shared" si="188"/>
        <v>7925</v>
      </c>
      <c r="Q1251" s="361">
        <f t="shared" si="189"/>
        <v>90.056818181818173</v>
      </c>
    </row>
    <row r="1252" spans="2:17" x14ac:dyDescent="0.2">
      <c r="B1252" s="18">
        <f t="shared" si="191"/>
        <v>757</v>
      </c>
      <c r="C1252" s="6"/>
      <c r="D1252" s="6"/>
      <c r="E1252" s="6"/>
      <c r="F1252" s="93"/>
      <c r="G1252" s="5">
        <v>633</v>
      </c>
      <c r="H1252" s="6" t="s">
        <v>125</v>
      </c>
      <c r="I1252" s="7">
        <f>2000+500+1000+500+3500+500+91852-1630-35160</f>
        <v>63062</v>
      </c>
      <c r="J1252" s="7">
        <v>57306</v>
      </c>
      <c r="K1252" s="361">
        <f t="shared" si="190"/>
        <v>90.872474707430783</v>
      </c>
      <c r="L1252" s="7"/>
      <c r="M1252" s="7"/>
      <c r="N1252" s="361"/>
      <c r="O1252" s="95">
        <f t="shared" si="187"/>
        <v>63062</v>
      </c>
      <c r="P1252" s="95">
        <f t="shared" si="188"/>
        <v>57306</v>
      </c>
      <c r="Q1252" s="361">
        <f t="shared" si="189"/>
        <v>90.872474707430783</v>
      </c>
    </row>
    <row r="1253" spans="2:17" x14ac:dyDescent="0.2">
      <c r="B1253" s="18">
        <f t="shared" si="191"/>
        <v>758</v>
      </c>
      <c r="C1253" s="6"/>
      <c r="D1253" s="6"/>
      <c r="E1253" s="6"/>
      <c r="F1253" s="93"/>
      <c r="G1253" s="5">
        <v>635</v>
      </c>
      <c r="H1253" s="6" t="s">
        <v>133</v>
      </c>
      <c r="I1253" s="7">
        <v>7500</v>
      </c>
      <c r="J1253" s="7">
        <v>215</v>
      </c>
      <c r="K1253" s="361">
        <f t="shared" si="190"/>
        <v>2.8666666666666667</v>
      </c>
      <c r="L1253" s="7"/>
      <c r="M1253" s="7"/>
      <c r="N1253" s="361"/>
      <c r="O1253" s="95">
        <f t="shared" si="187"/>
        <v>7500</v>
      </c>
      <c r="P1253" s="95">
        <f t="shared" si="188"/>
        <v>215</v>
      </c>
      <c r="Q1253" s="361">
        <f t="shared" si="189"/>
        <v>2.8666666666666667</v>
      </c>
    </row>
    <row r="1254" spans="2:17" x14ac:dyDescent="0.2">
      <c r="B1254" s="18">
        <f t="shared" si="191"/>
        <v>759</v>
      </c>
      <c r="C1254" s="6"/>
      <c r="D1254" s="6"/>
      <c r="E1254" s="6"/>
      <c r="F1254" s="93"/>
      <c r="G1254" s="5">
        <v>637</v>
      </c>
      <c r="H1254" s="6" t="s">
        <v>122</v>
      </c>
      <c r="I1254" s="7">
        <v>6600</v>
      </c>
      <c r="J1254" s="7">
        <v>4460</v>
      </c>
      <c r="K1254" s="361">
        <f t="shared" si="190"/>
        <v>67.575757575757578</v>
      </c>
      <c r="L1254" s="7"/>
      <c r="M1254" s="7"/>
      <c r="N1254" s="361"/>
      <c r="O1254" s="95">
        <f t="shared" si="187"/>
        <v>6600</v>
      </c>
      <c r="P1254" s="95">
        <f t="shared" si="188"/>
        <v>4460</v>
      </c>
      <c r="Q1254" s="361">
        <f t="shared" si="189"/>
        <v>67.575757575757578</v>
      </c>
    </row>
    <row r="1255" spans="2:17" x14ac:dyDescent="0.2">
      <c r="B1255" s="18">
        <f t="shared" si="191"/>
        <v>760</v>
      </c>
      <c r="C1255" s="3"/>
      <c r="D1255" s="3"/>
      <c r="E1255" s="3"/>
      <c r="F1255" s="90" t="s">
        <v>79</v>
      </c>
      <c r="G1255" s="2">
        <v>640</v>
      </c>
      <c r="H1255" s="3" t="s">
        <v>129</v>
      </c>
      <c r="I1255" s="4">
        <f>250+1033+97</f>
        <v>1380</v>
      </c>
      <c r="J1255" s="4">
        <v>1313</v>
      </c>
      <c r="K1255" s="361">
        <f t="shared" si="190"/>
        <v>95.144927536231876</v>
      </c>
      <c r="L1255" s="4"/>
      <c r="M1255" s="4"/>
      <c r="N1255" s="361"/>
      <c r="O1255" s="92">
        <f t="shared" si="187"/>
        <v>1380</v>
      </c>
      <c r="P1255" s="92">
        <f t="shared" si="188"/>
        <v>1313</v>
      </c>
      <c r="Q1255" s="361">
        <f t="shared" si="189"/>
        <v>95.144927536231876</v>
      </c>
    </row>
    <row r="1256" spans="2:17" x14ac:dyDescent="0.2">
      <c r="B1256" s="18">
        <f t="shared" si="191"/>
        <v>761</v>
      </c>
      <c r="C1256" s="3"/>
      <c r="D1256" s="3"/>
      <c r="E1256" s="3"/>
      <c r="F1256" s="90" t="s">
        <v>49</v>
      </c>
      <c r="G1256" s="2">
        <v>610</v>
      </c>
      <c r="H1256" s="3" t="s">
        <v>131</v>
      </c>
      <c r="I1256" s="4">
        <f>53258+281-102</f>
        <v>53437</v>
      </c>
      <c r="J1256" s="4">
        <v>53437</v>
      </c>
      <c r="K1256" s="361">
        <f t="shared" si="190"/>
        <v>100</v>
      </c>
      <c r="L1256" s="4"/>
      <c r="M1256" s="4"/>
      <c r="N1256" s="361"/>
      <c r="O1256" s="92">
        <f t="shared" si="187"/>
        <v>53437</v>
      </c>
      <c r="P1256" s="92">
        <f t="shared" si="188"/>
        <v>53437</v>
      </c>
      <c r="Q1256" s="361">
        <f t="shared" si="189"/>
        <v>100</v>
      </c>
    </row>
    <row r="1257" spans="2:17" x14ac:dyDescent="0.2">
      <c r="B1257" s="18">
        <f t="shared" si="191"/>
        <v>762</v>
      </c>
      <c r="C1257" s="3"/>
      <c r="D1257" s="3"/>
      <c r="E1257" s="3"/>
      <c r="F1257" s="90" t="s">
        <v>49</v>
      </c>
      <c r="G1257" s="2">
        <v>620</v>
      </c>
      <c r="H1257" s="3" t="s">
        <v>124</v>
      </c>
      <c r="I1257" s="4">
        <f>19634+132-400+45</f>
        <v>19411</v>
      </c>
      <c r="J1257" s="4">
        <v>19411</v>
      </c>
      <c r="K1257" s="361">
        <f t="shared" si="190"/>
        <v>100</v>
      </c>
      <c r="L1257" s="4"/>
      <c r="M1257" s="4"/>
      <c r="N1257" s="361"/>
      <c r="O1257" s="92">
        <f t="shared" si="187"/>
        <v>19411</v>
      </c>
      <c r="P1257" s="92">
        <f t="shared" si="188"/>
        <v>19411</v>
      </c>
      <c r="Q1257" s="361">
        <f t="shared" si="189"/>
        <v>100</v>
      </c>
    </row>
    <row r="1258" spans="2:17" x14ac:dyDescent="0.2">
      <c r="B1258" s="18">
        <f t="shared" si="191"/>
        <v>763</v>
      </c>
      <c r="C1258" s="3"/>
      <c r="D1258" s="3"/>
      <c r="E1258" s="3"/>
      <c r="F1258" s="90" t="s">
        <v>49</v>
      </c>
      <c r="G1258" s="2">
        <v>630</v>
      </c>
      <c r="H1258" s="3" t="s">
        <v>121</v>
      </c>
      <c r="I1258" s="4">
        <f>SUM(I1259:I1262)</f>
        <v>190794</v>
      </c>
      <c r="J1258" s="4">
        <f>SUM(J1259:J1262)</f>
        <v>161920</v>
      </c>
      <c r="K1258" s="361">
        <f t="shared" si="190"/>
        <v>84.866400410914395</v>
      </c>
      <c r="L1258" s="4"/>
      <c r="M1258" s="4"/>
      <c r="N1258" s="361"/>
      <c r="O1258" s="92">
        <f t="shared" si="187"/>
        <v>190794</v>
      </c>
      <c r="P1258" s="92">
        <f t="shared" si="188"/>
        <v>161920</v>
      </c>
      <c r="Q1258" s="361">
        <f t="shared" si="189"/>
        <v>84.866400410914395</v>
      </c>
    </row>
    <row r="1259" spans="2:17" x14ac:dyDescent="0.2">
      <c r="B1259" s="18">
        <f t="shared" si="191"/>
        <v>764</v>
      </c>
      <c r="C1259" s="6"/>
      <c r="D1259" s="6"/>
      <c r="E1259" s="6"/>
      <c r="F1259" s="93"/>
      <c r="G1259" s="5">
        <v>632</v>
      </c>
      <c r="H1259" s="6" t="s">
        <v>134</v>
      </c>
      <c r="I1259" s="7">
        <f>500+1800+1000+2105+6895-3500</f>
        <v>8800</v>
      </c>
      <c r="J1259" s="7">
        <v>7928</v>
      </c>
      <c r="K1259" s="361">
        <f t="shared" si="190"/>
        <v>90.090909090909093</v>
      </c>
      <c r="L1259" s="7"/>
      <c r="M1259" s="7"/>
      <c r="N1259" s="361"/>
      <c r="O1259" s="95">
        <f t="shared" si="187"/>
        <v>8800</v>
      </c>
      <c r="P1259" s="95">
        <f t="shared" si="188"/>
        <v>7928</v>
      </c>
      <c r="Q1259" s="361">
        <f t="shared" si="189"/>
        <v>90.090909090909093</v>
      </c>
    </row>
    <row r="1260" spans="2:17" x14ac:dyDescent="0.2">
      <c r="B1260" s="18">
        <f t="shared" si="191"/>
        <v>765</v>
      </c>
      <c r="C1260" s="6"/>
      <c r="D1260" s="6"/>
      <c r="E1260" s="6"/>
      <c r="F1260" s="93"/>
      <c r="G1260" s="5">
        <v>633</v>
      </c>
      <c r="H1260" s="6" t="s">
        <v>125</v>
      </c>
      <c r="I1260" s="7">
        <f>2000+500+1000+500+3500+500+35755+68970-9044+36845</f>
        <v>140526</v>
      </c>
      <c r="J1260" s="7">
        <v>117896</v>
      </c>
      <c r="K1260" s="361">
        <f t="shared" si="190"/>
        <v>83.896218493374903</v>
      </c>
      <c r="L1260" s="7"/>
      <c r="M1260" s="7"/>
      <c r="N1260" s="361"/>
      <c r="O1260" s="95">
        <f t="shared" si="187"/>
        <v>140526</v>
      </c>
      <c r="P1260" s="95">
        <f t="shared" si="188"/>
        <v>117896</v>
      </c>
      <c r="Q1260" s="361">
        <f t="shared" si="189"/>
        <v>83.896218493374903</v>
      </c>
    </row>
    <row r="1261" spans="2:17" x14ac:dyDescent="0.2">
      <c r="B1261" s="18">
        <f t="shared" si="191"/>
        <v>766</v>
      </c>
      <c r="C1261" s="6"/>
      <c r="D1261" s="6"/>
      <c r="E1261" s="6"/>
      <c r="F1261" s="93"/>
      <c r="G1261" s="5">
        <v>635</v>
      </c>
      <c r="H1261" s="6" t="s">
        <v>133</v>
      </c>
      <c r="I1261" s="7">
        <f>7500+27500</f>
        <v>35000</v>
      </c>
      <c r="J1261" s="7">
        <v>31050</v>
      </c>
      <c r="K1261" s="361">
        <f t="shared" si="190"/>
        <v>88.714285714285708</v>
      </c>
      <c r="L1261" s="7"/>
      <c r="M1261" s="7"/>
      <c r="N1261" s="361"/>
      <c r="O1261" s="95">
        <f t="shared" si="187"/>
        <v>35000</v>
      </c>
      <c r="P1261" s="95">
        <f t="shared" si="188"/>
        <v>31050</v>
      </c>
      <c r="Q1261" s="361">
        <f t="shared" si="189"/>
        <v>88.714285714285708</v>
      </c>
    </row>
    <row r="1262" spans="2:17" x14ac:dyDescent="0.2">
      <c r="B1262" s="18">
        <f t="shared" si="191"/>
        <v>767</v>
      </c>
      <c r="C1262" s="6"/>
      <c r="D1262" s="6"/>
      <c r="E1262" s="6"/>
      <c r="F1262" s="93"/>
      <c r="G1262" s="5">
        <v>637</v>
      </c>
      <c r="H1262" s="6" t="s">
        <v>122</v>
      </c>
      <c r="I1262" s="7">
        <f>200+1650+550+400+3800-132</f>
        <v>6468</v>
      </c>
      <c r="J1262" s="7">
        <v>5046</v>
      </c>
      <c r="K1262" s="361">
        <f t="shared" si="190"/>
        <v>78.01484230055658</v>
      </c>
      <c r="L1262" s="7"/>
      <c r="M1262" s="7"/>
      <c r="N1262" s="361"/>
      <c r="O1262" s="95">
        <f t="shared" si="187"/>
        <v>6468</v>
      </c>
      <c r="P1262" s="95">
        <f t="shared" si="188"/>
        <v>5046</v>
      </c>
      <c r="Q1262" s="361">
        <f t="shared" si="189"/>
        <v>78.01484230055658</v>
      </c>
    </row>
    <row r="1263" spans="2:17" x14ac:dyDescent="0.2">
      <c r="B1263" s="18">
        <f t="shared" si="191"/>
        <v>768</v>
      </c>
      <c r="C1263" s="3"/>
      <c r="D1263" s="3"/>
      <c r="E1263" s="3"/>
      <c r="F1263" s="90" t="s">
        <v>49</v>
      </c>
      <c r="G1263" s="2">
        <v>640</v>
      </c>
      <c r="H1263" s="3" t="s">
        <v>129</v>
      </c>
      <c r="I1263" s="4">
        <f>2910+250+328+57</f>
        <v>3545</v>
      </c>
      <c r="J1263" s="4">
        <v>587</v>
      </c>
      <c r="K1263" s="361">
        <f t="shared" si="190"/>
        <v>16.558533145275035</v>
      </c>
      <c r="L1263" s="4"/>
      <c r="M1263" s="4"/>
      <c r="N1263" s="361"/>
      <c r="O1263" s="92">
        <f t="shared" si="187"/>
        <v>3545</v>
      </c>
      <c r="P1263" s="92">
        <f t="shared" si="188"/>
        <v>587</v>
      </c>
      <c r="Q1263" s="361">
        <f t="shared" si="189"/>
        <v>16.558533145275035</v>
      </c>
    </row>
    <row r="1264" spans="2:17" x14ac:dyDescent="0.2">
      <c r="B1264" s="18">
        <f t="shared" si="191"/>
        <v>769</v>
      </c>
      <c r="C1264" s="3"/>
      <c r="D1264" s="3"/>
      <c r="E1264" s="3"/>
      <c r="F1264" s="90" t="s">
        <v>49</v>
      </c>
      <c r="G1264" s="2">
        <v>710</v>
      </c>
      <c r="H1264" s="3" t="s">
        <v>175</v>
      </c>
      <c r="I1264" s="4"/>
      <c r="J1264" s="4"/>
      <c r="K1264" s="361"/>
      <c r="L1264" s="4">
        <f>L1265</f>
        <v>18954</v>
      </c>
      <c r="M1264" s="4">
        <f>M1265</f>
        <v>18945</v>
      </c>
      <c r="N1264" s="361">
        <f t="shared" ref="N1264:N1269" si="192">M1264/L1264*100</f>
        <v>99.952516619183285</v>
      </c>
      <c r="O1264" s="92">
        <f t="shared" si="187"/>
        <v>18954</v>
      </c>
      <c r="P1264" s="92">
        <f t="shared" si="188"/>
        <v>18945</v>
      </c>
      <c r="Q1264" s="361">
        <f t="shared" si="189"/>
        <v>99.952516619183285</v>
      </c>
    </row>
    <row r="1265" spans="2:17" x14ac:dyDescent="0.2">
      <c r="B1265" s="18">
        <f t="shared" si="191"/>
        <v>770</v>
      </c>
      <c r="C1265" s="3"/>
      <c r="D1265" s="3"/>
      <c r="E1265" s="3"/>
      <c r="F1265" s="90"/>
      <c r="G1265" s="5">
        <v>713</v>
      </c>
      <c r="H1265" s="6" t="s">
        <v>218</v>
      </c>
      <c r="I1265" s="4"/>
      <c r="J1265" s="4"/>
      <c r="K1265" s="361"/>
      <c r="L1265" s="7">
        <f>L1266+L1267+L1268</f>
        <v>18954</v>
      </c>
      <c r="M1265" s="7">
        <f>M1266+M1267+M1268</f>
        <v>18945</v>
      </c>
      <c r="N1265" s="361">
        <f t="shared" si="192"/>
        <v>99.952516619183285</v>
      </c>
      <c r="O1265" s="95">
        <f t="shared" si="187"/>
        <v>18954</v>
      </c>
      <c r="P1265" s="95">
        <f t="shared" si="188"/>
        <v>18945</v>
      </c>
      <c r="Q1265" s="361">
        <f t="shared" si="189"/>
        <v>99.952516619183285</v>
      </c>
    </row>
    <row r="1266" spans="2:17" x14ac:dyDescent="0.2">
      <c r="B1266" s="18">
        <f t="shared" si="191"/>
        <v>771</v>
      </c>
      <c r="C1266" s="3"/>
      <c r="D1266" s="3"/>
      <c r="E1266" s="3"/>
      <c r="F1266" s="90"/>
      <c r="G1266" s="106"/>
      <c r="H1266" s="9" t="s">
        <v>636</v>
      </c>
      <c r="I1266" s="4"/>
      <c r="J1266" s="4"/>
      <c r="K1266" s="361"/>
      <c r="L1266" s="10">
        <v>7000</v>
      </c>
      <c r="M1266" s="10">
        <v>7000</v>
      </c>
      <c r="N1266" s="361">
        <f t="shared" si="192"/>
        <v>100</v>
      </c>
      <c r="O1266" s="108">
        <f t="shared" si="187"/>
        <v>7000</v>
      </c>
      <c r="P1266" s="108">
        <f t="shared" si="188"/>
        <v>7000</v>
      </c>
      <c r="Q1266" s="361">
        <f t="shared" si="189"/>
        <v>100</v>
      </c>
    </row>
    <row r="1267" spans="2:17" x14ac:dyDescent="0.2">
      <c r="B1267" s="18">
        <f t="shared" si="191"/>
        <v>772</v>
      </c>
      <c r="C1267" s="3"/>
      <c r="D1267" s="3"/>
      <c r="E1267" s="3"/>
      <c r="F1267" s="90"/>
      <c r="G1267" s="106"/>
      <c r="H1267" s="9" t="s">
        <v>721</v>
      </c>
      <c r="I1267" s="4"/>
      <c r="J1267" s="4"/>
      <c r="K1267" s="361"/>
      <c r="L1267" s="10">
        <v>2910</v>
      </c>
      <c r="M1267" s="10">
        <v>2902</v>
      </c>
      <c r="N1267" s="361">
        <f t="shared" si="192"/>
        <v>99.725085910652922</v>
      </c>
      <c r="O1267" s="108">
        <f t="shared" si="187"/>
        <v>2910</v>
      </c>
      <c r="P1267" s="108">
        <f t="shared" si="188"/>
        <v>2902</v>
      </c>
      <c r="Q1267" s="361">
        <f t="shared" si="189"/>
        <v>99.725085910652922</v>
      </c>
    </row>
    <row r="1268" spans="2:17" x14ac:dyDescent="0.2">
      <c r="B1268" s="18">
        <f t="shared" si="191"/>
        <v>773</v>
      </c>
      <c r="C1268" s="3"/>
      <c r="D1268" s="3"/>
      <c r="E1268" s="3"/>
      <c r="F1268" s="90"/>
      <c r="G1268" s="106"/>
      <c r="H1268" s="9" t="s">
        <v>722</v>
      </c>
      <c r="I1268" s="4"/>
      <c r="J1268" s="4"/>
      <c r="K1268" s="361"/>
      <c r="L1268" s="10">
        <v>9044</v>
      </c>
      <c r="M1268" s="10">
        <v>9043</v>
      </c>
      <c r="N1268" s="361">
        <f t="shared" si="192"/>
        <v>99.988942945599291</v>
      </c>
      <c r="O1268" s="108">
        <f t="shared" si="187"/>
        <v>9044</v>
      </c>
      <c r="P1268" s="108">
        <f t="shared" si="188"/>
        <v>9043</v>
      </c>
      <c r="Q1268" s="361">
        <f t="shared" si="189"/>
        <v>99.988942945599291</v>
      </c>
    </row>
    <row r="1269" spans="2:17" ht="15" x14ac:dyDescent="0.25">
      <c r="B1269" s="18">
        <f t="shared" si="191"/>
        <v>774</v>
      </c>
      <c r="C1269" s="176"/>
      <c r="D1269" s="176"/>
      <c r="E1269" s="176">
        <v>11</v>
      </c>
      <c r="F1269" s="177"/>
      <c r="G1269" s="177"/>
      <c r="H1269" s="176" t="s">
        <v>7</v>
      </c>
      <c r="I1269" s="178">
        <f>I1270+I1271+I1272+I1277+I1278+I1279+I1280+I1285</f>
        <v>609838</v>
      </c>
      <c r="J1269" s="178">
        <f>J1270+J1271+J1272+J1277+J1278+J1279+J1280+J1285</f>
        <v>609240</v>
      </c>
      <c r="K1269" s="361">
        <f t="shared" ref="K1269:K1285" si="193">J1269/I1269*100</f>
        <v>99.901941171261882</v>
      </c>
      <c r="L1269" s="178">
        <f>L1286</f>
        <v>41178</v>
      </c>
      <c r="M1269" s="178">
        <f>M1286</f>
        <v>41178</v>
      </c>
      <c r="N1269" s="361">
        <f t="shared" si="192"/>
        <v>100</v>
      </c>
      <c r="O1269" s="179">
        <f t="shared" si="187"/>
        <v>651016</v>
      </c>
      <c r="P1269" s="179">
        <f t="shared" si="188"/>
        <v>650418</v>
      </c>
      <c r="Q1269" s="361">
        <f t="shared" si="189"/>
        <v>99.908143578652442</v>
      </c>
    </row>
    <row r="1270" spans="2:17" x14ac:dyDescent="0.2">
      <c r="B1270" s="18">
        <f t="shared" si="191"/>
        <v>775</v>
      </c>
      <c r="C1270" s="3"/>
      <c r="D1270" s="3"/>
      <c r="E1270" s="3"/>
      <c r="F1270" s="90" t="s">
        <v>79</v>
      </c>
      <c r="G1270" s="2">
        <v>610</v>
      </c>
      <c r="H1270" s="3" t="s">
        <v>131</v>
      </c>
      <c r="I1270" s="4">
        <f>73100+1000</f>
        <v>74100</v>
      </c>
      <c r="J1270" s="4">
        <v>74100</v>
      </c>
      <c r="K1270" s="361">
        <f t="shared" si="193"/>
        <v>100</v>
      </c>
      <c r="L1270" s="4"/>
      <c r="M1270" s="4"/>
      <c r="N1270" s="361"/>
      <c r="O1270" s="92">
        <f t="shared" si="187"/>
        <v>74100</v>
      </c>
      <c r="P1270" s="92">
        <f t="shared" si="188"/>
        <v>74100</v>
      </c>
      <c r="Q1270" s="361">
        <f t="shared" si="189"/>
        <v>100</v>
      </c>
    </row>
    <row r="1271" spans="2:17" x14ac:dyDescent="0.2">
      <c r="B1271" s="18">
        <f t="shared" si="191"/>
        <v>776</v>
      </c>
      <c r="C1271" s="3"/>
      <c r="D1271" s="3"/>
      <c r="E1271" s="3"/>
      <c r="F1271" s="90" t="s">
        <v>79</v>
      </c>
      <c r="G1271" s="2">
        <v>620</v>
      </c>
      <c r="H1271" s="3" t="s">
        <v>124</v>
      </c>
      <c r="I1271" s="4">
        <f>27645-1000</f>
        <v>26645</v>
      </c>
      <c r="J1271" s="4">
        <v>26645</v>
      </c>
      <c r="K1271" s="361">
        <f t="shared" si="193"/>
        <v>100</v>
      </c>
      <c r="L1271" s="4"/>
      <c r="M1271" s="4"/>
      <c r="N1271" s="361"/>
      <c r="O1271" s="92">
        <f t="shared" si="187"/>
        <v>26645</v>
      </c>
      <c r="P1271" s="92">
        <f t="shared" si="188"/>
        <v>26645</v>
      </c>
      <c r="Q1271" s="361">
        <f t="shared" si="189"/>
        <v>100</v>
      </c>
    </row>
    <row r="1272" spans="2:17" x14ac:dyDescent="0.2">
      <c r="B1272" s="18">
        <f t="shared" si="191"/>
        <v>777</v>
      </c>
      <c r="C1272" s="3"/>
      <c r="D1272" s="3"/>
      <c r="E1272" s="3"/>
      <c r="F1272" s="90" t="s">
        <v>79</v>
      </c>
      <c r="G1272" s="2">
        <v>630</v>
      </c>
      <c r="H1272" s="3" t="s">
        <v>121</v>
      </c>
      <c r="I1272" s="4">
        <f>SUM(I1273:I1276)</f>
        <v>31880</v>
      </c>
      <c r="J1272" s="4">
        <f>SUM(J1273:J1276)</f>
        <v>31880</v>
      </c>
      <c r="K1272" s="361">
        <f t="shared" si="193"/>
        <v>100</v>
      </c>
      <c r="L1272" s="4"/>
      <c r="M1272" s="4"/>
      <c r="N1272" s="361"/>
      <c r="O1272" s="92">
        <f t="shared" si="187"/>
        <v>31880</v>
      </c>
      <c r="P1272" s="92">
        <f t="shared" si="188"/>
        <v>31880</v>
      </c>
      <c r="Q1272" s="361">
        <f t="shared" si="189"/>
        <v>100</v>
      </c>
    </row>
    <row r="1273" spans="2:17" x14ac:dyDescent="0.2">
      <c r="B1273" s="18">
        <f t="shared" si="191"/>
        <v>778</v>
      </c>
      <c r="C1273" s="6"/>
      <c r="D1273" s="6"/>
      <c r="E1273" s="6"/>
      <c r="F1273" s="93"/>
      <c r="G1273" s="5">
        <v>632</v>
      </c>
      <c r="H1273" s="6" t="s">
        <v>134</v>
      </c>
      <c r="I1273" s="7">
        <f>170+1500+2000+8100+3500</f>
        <v>15270</v>
      </c>
      <c r="J1273" s="7">
        <v>15270</v>
      </c>
      <c r="K1273" s="361">
        <f t="shared" si="193"/>
        <v>100</v>
      </c>
      <c r="L1273" s="7"/>
      <c r="M1273" s="7"/>
      <c r="N1273" s="361"/>
      <c r="O1273" s="95">
        <f t="shared" si="187"/>
        <v>15270</v>
      </c>
      <c r="P1273" s="95">
        <f t="shared" si="188"/>
        <v>15270</v>
      </c>
      <c r="Q1273" s="361">
        <f t="shared" si="189"/>
        <v>100</v>
      </c>
    </row>
    <row r="1274" spans="2:17" x14ac:dyDescent="0.2">
      <c r="B1274" s="18">
        <f t="shared" si="191"/>
        <v>779</v>
      </c>
      <c r="C1274" s="6"/>
      <c r="D1274" s="6"/>
      <c r="E1274" s="6"/>
      <c r="F1274" s="93"/>
      <c r="G1274" s="5">
        <v>633</v>
      </c>
      <c r="H1274" s="6" t="s">
        <v>125</v>
      </c>
      <c r="I1274" s="7">
        <f>200+800+500+920+300+1000+150+400+200+100+2500+200</f>
        <v>7270</v>
      </c>
      <c r="J1274" s="7">
        <v>7270</v>
      </c>
      <c r="K1274" s="361">
        <f t="shared" si="193"/>
        <v>100</v>
      </c>
      <c r="L1274" s="7"/>
      <c r="M1274" s="7"/>
      <c r="N1274" s="361"/>
      <c r="O1274" s="95">
        <f t="shared" si="187"/>
        <v>7270</v>
      </c>
      <c r="P1274" s="95">
        <f t="shared" si="188"/>
        <v>7270</v>
      </c>
      <c r="Q1274" s="361">
        <f t="shared" si="189"/>
        <v>100</v>
      </c>
    </row>
    <row r="1275" spans="2:17" x14ac:dyDescent="0.2">
      <c r="B1275" s="18">
        <f t="shared" si="191"/>
        <v>780</v>
      </c>
      <c r="C1275" s="6"/>
      <c r="D1275" s="6"/>
      <c r="E1275" s="6"/>
      <c r="F1275" s="93"/>
      <c r="G1275" s="5">
        <v>635</v>
      </c>
      <c r="H1275" s="6" t="s">
        <v>133</v>
      </c>
      <c r="I1275" s="7">
        <f>1500+1300+500</f>
        <v>3300</v>
      </c>
      <c r="J1275" s="7">
        <v>3300</v>
      </c>
      <c r="K1275" s="361">
        <f t="shared" si="193"/>
        <v>100</v>
      </c>
      <c r="L1275" s="7"/>
      <c r="M1275" s="7"/>
      <c r="N1275" s="361"/>
      <c r="O1275" s="95">
        <f t="shared" si="187"/>
        <v>3300</v>
      </c>
      <c r="P1275" s="95">
        <f t="shared" si="188"/>
        <v>3300</v>
      </c>
      <c r="Q1275" s="361">
        <f t="shared" si="189"/>
        <v>100</v>
      </c>
    </row>
    <row r="1276" spans="2:17" x14ac:dyDescent="0.2">
      <c r="B1276" s="18">
        <f t="shared" si="191"/>
        <v>781</v>
      </c>
      <c r="C1276" s="6"/>
      <c r="D1276" s="6"/>
      <c r="E1276" s="6"/>
      <c r="F1276" s="93"/>
      <c r="G1276" s="5">
        <v>637</v>
      </c>
      <c r="H1276" s="6" t="s">
        <v>122</v>
      </c>
      <c r="I1276" s="7">
        <f>100+300+100+910+200+1000+110+320+100+1000+2000+400-500</f>
        <v>6040</v>
      </c>
      <c r="J1276" s="7">
        <v>6040</v>
      </c>
      <c r="K1276" s="361">
        <f t="shared" si="193"/>
        <v>100</v>
      </c>
      <c r="L1276" s="7"/>
      <c r="M1276" s="7"/>
      <c r="N1276" s="361"/>
      <c r="O1276" s="95">
        <f t="shared" si="187"/>
        <v>6040</v>
      </c>
      <c r="P1276" s="95">
        <f t="shared" si="188"/>
        <v>6040</v>
      </c>
      <c r="Q1276" s="361">
        <f t="shared" si="189"/>
        <v>100</v>
      </c>
    </row>
    <row r="1277" spans="2:17" x14ac:dyDescent="0.2">
      <c r="B1277" s="18">
        <f t="shared" si="191"/>
        <v>782</v>
      </c>
      <c r="C1277" s="3"/>
      <c r="D1277" s="3"/>
      <c r="E1277" s="3"/>
      <c r="F1277" s="90" t="s">
        <v>79</v>
      </c>
      <c r="G1277" s="2">
        <v>640</v>
      </c>
      <c r="H1277" s="3" t="s">
        <v>129</v>
      </c>
      <c r="I1277" s="4">
        <f>1000+600+2500</f>
        <v>4100</v>
      </c>
      <c r="J1277" s="4">
        <v>3502</v>
      </c>
      <c r="K1277" s="361">
        <f t="shared" si="193"/>
        <v>85.414634146341456</v>
      </c>
      <c r="L1277" s="4"/>
      <c r="M1277" s="4"/>
      <c r="N1277" s="361"/>
      <c r="O1277" s="92">
        <f t="shared" si="187"/>
        <v>4100</v>
      </c>
      <c r="P1277" s="92">
        <f t="shared" si="188"/>
        <v>3502</v>
      </c>
      <c r="Q1277" s="361">
        <f t="shared" si="189"/>
        <v>85.414634146341456</v>
      </c>
    </row>
    <row r="1278" spans="2:17" x14ac:dyDescent="0.2">
      <c r="B1278" s="18">
        <f t="shared" ref="B1278:B1313" si="194">B1277+1</f>
        <v>783</v>
      </c>
      <c r="C1278" s="3"/>
      <c r="D1278" s="3"/>
      <c r="E1278" s="3"/>
      <c r="F1278" s="90" t="s">
        <v>49</v>
      </c>
      <c r="G1278" s="2">
        <v>610</v>
      </c>
      <c r="H1278" s="3" t="s">
        <v>131</v>
      </c>
      <c r="I1278" s="4">
        <f>99380+1000</f>
        <v>100380</v>
      </c>
      <c r="J1278" s="4">
        <v>100380</v>
      </c>
      <c r="K1278" s="361">
        <f t="shared" si="193"/>
        <v>100</v>
      </c>
      <c r="L1278" s="4"/>
      <c r="M1278" s="4"/>
      <c r="N1278" s="361"/>
      <c r="O1278" s="92">
        <f t="shared" si="187"/>
        <v>100380</v>
      </c>
      <c r="P1278" s="92">
        <f t="shared" si="188"/>
        <v>100380</v>
      </c>
      <c r="Q1278" s="361">
        <f t="shared" si="189"/>
        <v>100</v>
      </c>
    </row>
    <row r="1279" spans="2:17" x14ac:dyDescent="0.2">
      <c r="B1279" s="18">
        <f t="shared" si="194"/>
        <v>784</v>
      </c>
      <c r="C1279" s="3"/>
      <c r="D1279" s="3"/>
      <c r="E1279" s="3"/>
      <c r="F1279" s="90" t="s">
        <v>49</v>
      </c>
      <c r="G1279" s="2">
        <v>620</v>
      </c>
      <c r="H1279" s="3" t="s">
        <v>124</v>
      </c>
      <c r="I1279" s="4">
        <f>37805-1000</f>
        <v>36805</v>
      </c>
      <c r="J1279" s="4">
        <v>36805</v>
      </c>
      <c r="K1279" s="361">
        <f t="shared" si="193"/>
        <v>100</v>
      </c>
      <c r="L1279" s="4"/>
      <c r="M1279" s="4"/>
      <c r="N1279" s="361"/>
      <c r="O1279" s="92">
        <f t="shared" si="187"/>
        <v>36805</v>
      </c>
      <c r="P1279" s="92">
        <f t="shared" si="188"/>
        <v>36805</v>
      </c>
      <c r="Q1279" s="361">
        <f t="shared" si="189"/>
        <v>100</v>
      </c>
    </row>
    <row r="1280" spans="2:17" x14ac:dyDescent="0.2">
      <c r="B1280" s="18">
        <f t="shared" si="194"/>
        <v>785</v>
      </c>
      <c r="C1280" s="3"/>
      <c r="D1280" s="3"/>
      <c r="E1280" s="3"/>
      <c r="F1280" s="90" t="s">
        <v>49</v>
      </c>
      <c r="G1280" s="2">
        <v>630</v>
      </c>
      <c r="H1280" s="3" t="s">
        <v>121</v>
      </c>
      <c r="I1280" s="4">
        <f>SUM(I1281:I1284)</f>
        <v>329128</v>
      </c>
      <c r="J1280" s="4">
        <f>SUM(J1281:J1284)</f>
        <v>329128</v>
      </c>
      <c r="K1280" s="361">
        <f t="shared" si="193"/>
        <v>100</v>
      </c>
      <c r="L1280" s="4"/>
      <c r="M1280" s="4"/>
      <c r="N1280" s="361"/>
      <c r="O1280" s="92">
        <f t="shared" si="187"/>
        <v>329128</v>
      </c>
      <c r="P1280" s="92">
        <f t="shared" si="188"/>
        <v>329128</v>
      </c>
      <c r="Q1280" s="361">
        <f t="shared" si="189"/>
        <v>100</v>
      </c>
    </row>
    <row r="1281" spans="2:17" x14ac:dyDescent="0.2">
      <c r="B1281" s="18">
        <f t="shared" si="194"/>
        <v>786</v>
      </c>
      <c r="C1281" s="6"/>
      <c r="D1281" s="6"/>
      <c r="E1281" s="6"/>
      <c r="F1281" s="93"/>
      <c r="G1281" s="5">
        <v>632</v>
      </c>
      <c r="H1281" s="6" t="s">
        <v>134</v>
      </c>
      <c r="I1281" s="7">
        <f>260+2500+2000+10500+5000-2100</f>
        <v>18160</v>
      </c>
      <c r="J1281" s="7">
        <v>18160</v>
      </c>
      <c r="K1281" s="361">
        <f t="shared" si="193"/>
        <v>100</v>
      </c>
      <c r="L1281" s="7"/>
      <c r="M1281" s="7"/>
      <c r="N1281" s="361"/>
      <c r="O1281" s="95">
        <f t="shared" si="187"/>
        <v>18160</v>
      </c>
      <c r="P1281" s="95">
        <f t="shared" si="188"/>
        <v>18160</v>
      </c>
      <c r="Q1281" s="361">
        <f t="shared" si="189"/>
        <v>100</v>
      </c>
    </row>
    <row r="1282" spans="2:17" x14ac:dyDescent="0.2">
      <c r="B1282" s="18">
        <f t="shared" si="194"/>
        <v>787</v>
      </c>
      <c r="C1282" s="6"/>
      <c r="D1282" s="6"/>
      <c r="E1282" s="6"/>
      <c r="F1282" s="93"/>
      <c r="G1282" s="5">
        <v>633</v>
      </c>
      <c r="H1282" s="6" t="s">
        <v>125</v>
      </c>
      <c r="I1282" s="7">
        <f>300+1200+40000+250000+1120+700+520+300+2000+1600+200+600+300+200+3500-10000+1578</f>
        <v>294118</v>
      </c>
      <c r="J1282" s="7">
        <v>294118</v>
      </c>
      <c r="K1282" s="361">
        <f t="shared" si="193"/>
        <v>100</v>
      </c>
      <c r="L1282" s="7"/>
      <c r="M1282" s="7"/>
      <c r="N1282" s="361"/>
      <c r="O1282" s="95">
        <f t="shared" si="187"/>
        <v>294118</v>
      </c>
      <c r="P1282" s="95">
        <f t="shared" si="188"/>
        <v>294118</v>
      </c>
      <c r="Q1282" s="361">
        <f t="shared" si="189"/>
        <v>100</v>
      </c>
    </row>
    <row r="1283" spans="2:17" x14ac:dyDescent="0.2">
      <c r="B1283" s="18">
        <f t="shared" si="194"/>
        <v>788</v>
      </c>
      <c r="C1283" s="6"/>
      <c r="D1283" s="6"/>
      <c r="E1283" s="6"/>
      <c r="F1283" s="93"/>
      <c r="G1283" s="5">
        <v>635</v>
      </c>
      <c r="H1283" s="6" t="s">
        <v>133</v>
      </c>
      <c r="I1283" s="7">
        <f>2300+1800+1500</f>
        <v>5600</v>
      </c>
      <c r="J1283" s="7">
        <v>5600</v>
      </c>
      <c r="K1283" s="361">
        <f t="shared" si="193"/>
        <v>100</v>
      </c>
      <c r="L1283" s="7"/>
      <c r="M1283" s="7"/>
      <c r="N1283" s="361"/>
      <c r="O1283" s="95">
        <f t="shared" si="187"/>
        <v>5600</v>
      </c>
      <c r="P1283" s="95">
        <f t="shared" si="188"/>
        <v>5600</v>
      </c>
      <c r="Q1283" s="361">
        <f t="shared" si="189"/>
        <v>100</v>
      </c>
    </row>
    <row r="1284" spans="2:17" x14ac:dyDescent="0.2">
      <c r="B1284" s="18">
        <f t="shared" si="194"/>
        <v>789</v>
      </c>
      <c r="C1284" s="6"/>
      <c r="D1284" s="6"/>
      <c r="E1284" s="6"/>
      <c r="F1284" s="93"/>
      <c r="G1284" s="5">
        <v>637</v>
      </c>
      <c r="H1284" s="6" t="s">
        <v>122</v>
      </c>
      <c r="I1284" s="7">
        <f>2500+250+500+200+1250+500+1500+400+800+250+1500+2500+600-1500</f>
        <v>11250</v>
      </c>
      <c r="J1284" s="7">
        <v>11250</v>
      </c>
      <c r="K1284" s="361">
        <f t="shared" si="193"/>
        <v>100</v>
      </c>
      <c r="L1284" s="7"/>
      <c r="M1284" s="7"/>
      <c r="N1284" s="361"/>
      <c r="O1284" s="95">
        <f t="shared" si="187"/>
        <v>11250</v>
      </c>
      <c r="P1284" s="95">
        <f t="shared" si="188"/>
        <v>11250</v>
      </c>
      <c r="Q1284" s="361">
        <f t="shared" si="189"/>
        <v>100</v>
      </c>
    </row>
    <row r="1285" spans="2:17" x14ac:dyDescent="0.2">
      <c r="B1285" s="18">
        <f t="shared" si="194"/>
        <v>790</v>
      </c>
      <c r="C1285" s="3"/>
      <c r="D1285" s="3"/>
      <c r="E1285" s="3"/>
      <c r="F1285" s="90" t="s">
        <v>49</v>
      </c>
      <c r="G1285" s="2">
        <v>640</v>
      </c>
      <c r="H1285" s="3" t="s">
        <v>129</v>
      </c>
      <c r="I1285" s="4">
        <f>2000+600+4200</f>
        <v>6800</v>
      </c>
      <c r="J1285" s="4">
        <v>6800</v>
      </c>
      <c r="K1285" s="361">
        <f t="shared" si="193"/>
        <v>100</v>
      </c>
      <c r="L1285" s="4"/>
      <c r="M1285" s="4"/>
      <c r="N1285" s="361"/>
      <c r="O1285" s="92">
        <f t="shared" si="187"/>
        <v>6800</v>
      </c>
      <c r="P1285" s="92">
        <f t="shared" si="188"/>
        <v>6800</v>
      </c>
      <c r="Q1285" s="361">
        <f t="shared" si="189"/>
        <v>100</v>
      </c>
    </row>
    <row r="1286" spans="2:17" x14ac:dyDescent="0.2">
      <c r="B1286" s="18">
        <f t="shared" si="194"/>
        <v>791</v>
      </c>
      <c r="C1286" s="3"/>
      <c r="D1286" s="3"/>
      <c r="E1286" s="3"/>
      <c r="F1286" s="90" t="s">
        <v>49</v>
      </c>
      <c r="G1286" s="2">
        <v>710</v>
      </c>
      <c r="H1286" s="3" t="s">
        <v>175</v>
      </c>
      <c r="I1286" s="4"/>
      <c r="J1286" s="4"/>
      <c r="K1286" s="361"/>
      <c r="L1286" s="4">
        <f>L1287</f>
        <v>41178</v>
      </c>
      <c r="M1286" s="4">
        <f>M1287</f>
        <v>41178</v>
      </c>
      <c r="N1286" s="361">
        <f>M1286/L1286*100</f>
        <v>100</v>
      </c>
      <c r="O1286" s="92">
        <f t="shared" si="187"/>
        <v>41178</v>
      </c>
      <c r="P1286" s="92">
        <f t="shared" si="188"/>
        <v>41178</v>
      </c>
      <c r="Q1286" s="361">
        <f t="shared" si="189"/>
        <v>100</v>
      </c>
    </row>
    <row r="1287" spans="2:17" x14ac:dyDescent="0.2">
      <c r="B1287" s="18">
        <f t="shared" si="194"/>
        <v>792</v>
      </c>
      <c r="C1287" s="3"/>
      <c r="D1287" s="3"/>
      <c r="E1287" s="3"/>
      <c r="F1287" s="90"/>
      <c r="G1287" s="5">
        <v>713</v>
      </c>
      <c r="H1287" s="6" t="s">
        <v>218</v>
      </c>
      <c r="I1287" s="4"/>
      <c r="J1287" s="4"/>
      <c r="K1287" s="361"/>
      <c r="L1287" s="7">
        <f>L1288+L1289</f>
        <v>41178</v>
      </c>
      <c r="M1287" s="7">
        <f>M1288+M1289</f>
        <v>41178</v>
      </c>
      <c r="N1287" s="361">
        <f>M1287/L1287*100</f>
        <v>100</v>
      </c>
      <c r="O1287" s="95">
        <f t="shared" si="187"/>
        <v>41178</v>
      </c>
      <c r="P1287" s="95">
        <f t="shared" si="188"/>
        <v>41178</v>
      </c>
      <c r="Q1287" s="361">
        <f t="shared" si="189"/>
        <v>100</v>
      </c>
    </row>
    <row r="1288" spans="2:17" x14ac:dyDescent="0.2">
      <c r="B1288" s="18">
        <f t="shared" si="194"/>
        <v>793</v>
      </c>
      <c r="C1288" s="3"/>
      <c r="D1288" s="3"/>
      <c r="E1288" s="3"/>
      <c r="F1288" s="90"/>
      <c r="G1288" s="106"/>
      <c r="H1288" s="9" t="s">
        <v>720</v>
      </c>
      <c r="I1288" s="4"/>
      <c r="J1288" s="4"/>
      <c r="K1288" s="361"/>
      <c r="L1288" s="10">
        <f>4500+522</f>
        <v>5022</v>
      </c>
      <c r="M1288" s="10">
        <v>5022</v>
      </c>
      <c r="N1288" s="361">
        <f>M1288/L1288*100</f>
        <v>100</v>
      </c>
      <c r="O1288" s="108">
        <f t="shared" si="187"/>
        <v>5022</v>
      </c>
      <c r="P1288" s="108">
        <f t="shared" si="188"/>
        <v>5022</v>
      </c>
      <c r="Q1288" s="361">
        <f t="shared" si="189"/>
        <v>100</v>
      </c>
    </row>
    <row r="1289" spans="2:17" x14ac:dyDescent="0.2">
      <c r="B1289" s="18">
        <f t="shared" si="194"/>
        <v>794</v>
      </c>
      <c r="C1289" s="3"/>
      <c r="D1289" s="3"/>
      <c r="E1289" s="3"/>
      <c r="F1289" s="90"/>
      <c r="G1289" s="2"/>
      <c r="H1289" s="9" t="s">
        <v>719</v>
      </c>
      <c r="I1289" s="4"/>
      <c r="J1289" s="4"/>
      <c r="K1289" s="361"/>
      <c r="L1289" s="10">
        <v>36156</v>
      </c>
      <c r="M1289" s="10">
        <v>36156</v>
      </c>
      <c r="N1289" s="361">
        <f>M1289/L1289*100</f>
        <v>100</v>
      </c>
      <c r="O1289" s="108">
        <f t="shared" si="187"/>
        <v>36156</v>
      </c>
      <c r="P1289" s="108">
        <f t="shared" si="188"/>
        <v>36156</v>
      </c>
      <c r="Q1289" s="361">
        <f t="shared" si="189"/>
        <v>100</v>
      </c>
    </row>
    <row r="1290" spans="2:17" ht="15" x14ac:dyDescent="0.25">
      <c r="B1290" s="18">
        <f t="shared" si="194"/>
        <v>795</v>
      </c>
      <c r="C1290" s="176"/>
      <c r="D1290" s="176"/>
      <c r="E1290" s="176">
        <v>12</v>
      </c>
      <c r="F1290" s="177"/>
      <c r="G1290" s="177"/>
      <c r="H1290" s="176" t="s">
        <v>5</v>
      </c>
      <c r="I1290" s="178">
        <f>I1291+I1292+I1293+I1298+I1299+I1300+I1301+I1307</f>
        <v>590012</v>
      </c>
      <c r="J1290" s="178">
        <f>J1291+J1292+J1293+J1298+J1299+J1300+J1301+J1307</f>
        <v>577719</v>
      </c>
      <c r="K1290" s="361">
        <f t="shared" ref="K1290:K1307" si="195">J1290/I1290*100</f>
        <v>97.916483054581931</v>
      </c>
      <c r="L1290" s="178">
        <f>L1308</f>
        <v>22880</v>
      </c>
      <c r="M1290" s="178">
        <f>M1308</f>
        <v>22880</v>
      </c>
      <c r="N1290" s="361">
        <f>M1290/L1290*100</f>
        <v>100</v>
      </c>
      <c r="O1290" s="179">
        <f t="shared" si="187"/>
        <v>612892</v>
      </c>
      <c r="P1290" s="179">
        <f t="shared" si="188"/>
        <v>600599</v>
      </c>
      <c r="Q1290" s="361">
        <f t="shared" si="189"/>
        <v>97.994263263348188</v>
      </c>
    </row>
    <row r="1291" spans="2:17" x14ac:dyDescent="0.2">
      <c r="B1291" s="18">
        <f t="shared" si="194"/>
        <v>796</v>
      </c>
      <c r="C1291" s="3"/>
      <c r="D1291" s="3"/>
      <c r="E1291" s="3"/>
      <c r="F1291" s="90" t="s">
        <v>79</v>
      </c>
      <c r="G1291" s="2">
        <v>610</v>
      </c>
      <c r="H1291" s="3" t="s">
        <v>131</v>
      </c>
      <c r="I1291" s="4">
        <v>66062</v>
      </c>
      <c r="J1291" s="4">
        <v>66062</v>
      </c>
      <c r="K1291" s="361">
        <f t="shared" si="195"/>
        <v>100</v>
      </c>
      <c r="L1291" s="4"/>
      <c r="M1291" s="4"/>
      <c r="N1291" s="361"/>
      <c r="O1291" s="92">
        <f t="shared" si="187"/>
        <v>66062</v>
      </c>
      <c r="P1291" s="92">
        <f t="shared" si="188"/>
        <v>66062</v>
      </c>
      <c r="Q1291" s="361">
        <f t="shared" si="189"/>
        <v>100</v>
      </c>
    </row>
    <row r="1292" spans="2:17" x14ac:dyDescent="0.2">
      <c r="B1292" s="18">
        <f t="shared" si="194"/>
        <v>797</v>
      </c>
      <c r="C1292" s="3"/>
      <c r="D1292" s="3"/>
      <c r="E1292" s="3"/>
      <c r="F1292" s="90" t="s">
        <v>79</v>
      </c>
      <c r="G1292" s="2">
        <v>620</v>
      </c>
      <c r="H1292" s="3" t="s">
        <v>124</v>
      </c>
      <c r="I1292" s="4">
        <v>23245</v>
      </c>
      <c r="J1292" s="4">
        <v>23245</v>
      </c>
      <c r="K1292" s="361">
        <f t="shared" si="195"/>
        <v>100</v>
      </c>
      <c r="L1292" s="4"/>
      <c r="M1292" s="4"/>
      <c r="N1292" s="361"/>
      <c r="O1292" s="92">
        <f t="shared" si="187"/>
        <v>23245</v>
      </c>
      <c r="P1292" s="92">
        <f t="shared" si="188"/>
        <v>23245</v>
      </c>
      <c r="Q1292" s="361">
        <f t="shared" si="189"/>
        <v>100</v>
      </c>
    </row>
    <row r="1293" spans="2:17" x14ac:dyDescent="0.2">
      <c r="B1293" s="18">
        <f t="shared" si="194"/>
        <v>798</v>
      </c>
      <c r="C1293" s="3"/>
      <c r="D1293" s="3"/>
      <c r="E1293" s="3"/>
      <c r="F1293" s="90" t="s">
        <v>79</v>
      </c>
      <c r="G1293" s="2">
        <v>630</v>
      </c>
      <c r="H1293" s="3" t="s">
        <v>121</v>
      </c>
      <c r="I1293" s="4">
        <f>I1297+I1296+I1295+I1294</f>
        <v>198105</v>
      </c>
      <c r="J1293" s="4">
        <f>J1297+J1296+J1295+J1294</f>
        <v>181632</v>
      </c>
      <c r="K1293" s="361">
        <f t="shared" si="195"/>
        <v>91.684712652381322</v>
      </c>
      <c r="L1293" s="4"/>
      <c r="M1293" s="4"/>
      <c r="N1293" s="361"/>
      <c r="O1293" s="92">
        <f t="shared" si="187"/>
        <v>198105</v>
      </c>
      <c r="P1293" s="92">
        <f t="shared" si="188"/>
        <v>181632</v>
      </c>
      <c r="Q1293" s="361">
        <f t="shared" si="189"/>
        <v>91.684712652381322</v>
      </c>
    </row>
    <row r="1294" spans="2:17" x14ac:dyDescent="0.2">
      <c r="B1294" s="18">
        <f t="shared" si="194"/>
        <v>799</v>
      </c>
      <c r="C1294" s="6"/>
      <c r="D1294" s="6"/>
      <c r="E1294" s="6"/>
      <c r="F1294" s="93"/>
      <c r="G1294" s="5">
        <v>632</v>
      </c>
      <c r="H1294" s="6" t="s">
        <v>134</v>
      </c>
      <c r="I1294" s="7">
        <f>7800+7360+3200+600</f>
        <v>18960</v>
      </c>
      <c r="J1294" s="7">
        <v>18960</v>
      </c>
      <c r="K1294" s="361">
        <f t="shared" si="195"/>
        <v>100</v>
      </c>
      <c r="L1294" s="7"/>
      <c r="M1294" s="7"/>
      <c r="N1294" s="361"/>
      <c r="O1294" s="95">
        <f t="shared" si="187"/>
        <v>18960</v>
      </c>
      <c r="P1294" s="95">
        <f t="shared" si="188"/>
        <v>18960</v>
      </c>
      <c r="Q1294" s="361">
        <f t="shared" si="189"/>
        <v>100</v>
      </c>
    </row>
    <row r="1295" spans="2:17" x14ac:dyDescent="0.2">
      <c r="B1295" s="18">
        <f t="shared" si="194"/>
        <v>800</v>
      </c>
      <c r="C1295" s="6"/>
      <c r="D1295" s="6"/>
      <c r="E1295" s="6"/>
      <c r="F1295" s="93"/>
      <c r="G1295" s="5">
        <v>633</v>
      </c>
      <c r="H1295" s="6" t="s">
        <v>125</v>
      </c>
      <c r="I1295" s="7">
        <v>141700</v>
      </c>
      <c r="J1295" s="7">
        <v>140067</v>
      </c>
      <c r="K1295" s="361">
        <f t="shared" si="195"/>
        <v>98.847565278757941</v>
      </c>
      <c r="L1295" s="7"/>
      <c r="M1295" s="7"/>
      <c r="N1295" s="361"/>
      <c r="O1295" s="95">
        <f t="shared" si="187"/>
        <v>141700</v>
      </c>
      <c r="P1295" s="95">
        <f t="shared" si="188"/>
        <v>140067</v>
      </c>
      <c r="Q1295" s="361">
        <f t="shared" si="189"/>
        <v>98.847565278757941</v>
      </c>
    </row>
    <row r="1296" spans="2:17" x14ac:dyDescent="0.2">
      <c r="B1296" s="18">
        <f t="shared" si="194"/>
        <v>801</v>
      </c>
      <c r="C1296" s="6"/>
      <c r="D1296" s="6"/>
      <c r="E1296" s="6"/>
      <c r="F1296" s="93"/>
      <c r="G1296" s="5">
        <v>635</v>
      </c>
      <c r="H1296" s="6" t="s">
        <v>133</v>
      </c>
      <c r="I1296" s="7">
        <f>2000+1000</f>
        <v>3000</v>
      </c>
      <c r="J1296" s="7">
        <v>3000</v>
      </c>
      <c r="K1296" s="361">
        <f t="shared" si="195"/>
        <v>100</v>
      </c>
      <c r="L1296" s="7"/>
      <c r="M1296" s="7"/>
      <c r="N1296" s="361"/>
      <c r="O1296" s="95">
        <f t="shared" si="187"/>
        <v>3000</v>
      </c>
      <c r="P1296" s="95">
        <f t="shared" si="188"/>
        <v>3000</v>
      </c>
      <c r="Q1296" s="361">
        <f t="shared" si="189"/>
        <v>100</v>
      </c>
    </row>
    <row r="1297" spans="2:17" x14ac:dyDescent="0.2">
      <c r="B1297" s="18">
        <f t="shared" si="194"/>
        <v>802</v>
      </c>
      <c r="C1297" s="6"/>
      <c r="D1297" s="6"/>
      <c r="E1297" s="6"/>
      <c r="F1297" s="93"/>
      <c r="G1297" s="5">
        <v>637</v>
      </c>
      <c r="H1297" s="6" t="s">
        <v>122</v>
      </c>
      <c r="I1297" s="7">
        <f>50+1400+55+30000+1100+960+880</f>
        <v>34445</v>
      </c>
      <c r="J1297" s="7">
        <v>19605</v>
      </c>
      <c r="K1297" s="361">
        <f t="shared" si="195"/>
        <v>56.916823922194801</v>
      </c>
      <c r="L1297" s="7"/>
      <c r="M1297" s="7"/>
      <c r="N1297" s="361"/>
      <c r="O1297" s="95">
        <f t="shared" si="187"/>
        <v>34445</v>
      </c>
      <c r="P1297" s="95">
        <f t="shared" si="188"/>
        <v>19605</v>
      </c>
      <c r="Q1297" s="361">
        <f t="shared" si="189"/>
        <v>56.916823922194801</v>
      </c>
    </row>
    <row r="1298" spans="2:17" x14ac:dyDescent="0.2">
      <c r="B1298" s="18">
        <f t="shared" si="194"/>
        <v>803</v>
      </c>
      <c r="C1298" s="3"/>
      <c r="D1298" s="3"/>
      <c r="E1298" s="3"/>
      <c r="F1298" s="90" t="s">
        <v>79</v>
      </c>
      <c r="G1298" s="2">
        <v>640</v>
      </c>
      <c r="H1298" s="3" t="s">
        <v>129</v>
      </c>
      <c r="I1298" s="4">
        <v>1440</v>
      </c>
      <c r="J1298" s="4">
        <v>1440</v>
      </c>
      <c r="K1298" s="361">
        <f t="shared" si="195"/>
        <v>100</v>
      </c>
      <c r="L1298" s="4"/>
      <c r="M1298" s="4"/>
      <c r="N1298" s="361"/>
      <c r="O1298" s="92">
        <f t="shared" si="187"/>
        <v>1440</v>
      </c>
      <c r="P1298" s="92">
        <f t="shared" si="188"/>
        <v>1440</v>
      </c>
      <c r="Q1298" s="361">
        <f t="shared" si="189"/>
        <v>100</v>
      </c>
    </row>
    <row r="1299" spans="2:17" x14ac:dyDescent="0.2">
      <c r="B1299" s="18">
        <f t="shared" si="194"/>
        <v>804</v>
      </c>
      <c r="C1299" s="3"/>
      <c r="D1299" s="3"/>
      <c r="E1299" s="3"/>
      <c r="F1299" s="90" t="s">
        <v>49</v>
      </c>
      <c r="G1299" s="2">
        <v>610</v>
      </c>
      <c r="H1299" s="3" t="s">
        <v>131</v>
      </c>
      <c r="I1299" s="4">
        <v>66062</v>
      </c>
      <c r="J1299" s="4">
        <v>64592</v>
      </c>
      <c r="K1299" s="361">
        <f t="shared" si="195"/>
        <v>97.774817595592026</v>
      </c>
      <c r="L1299" s="4"/>
      <c r="M1299" s="4"/>
      <c r="N1299" s="361"/>
      <c r="O1299" s="92">
        <f t="shared" si="187"/>
        <v>66062</v>
      </c>
      <c r="P1299" s="92">
        <f t="shared" si="188"/>
        <v>64592</v>
      </c>
      <c r="Q1299" s="361">
        <f t="shared" si="189"/>
        <v>97.774817595592026</v>
      </c>
    </row>
    <row r="1300" spans="2:17" x14ac:dyDescent="0.2">
      <c r="B1300" s="18">
        <f t="shared" si="194"/>
        <v>805</v>
      </c>
      <c r="C1300" s="3"/>
      <c r="D1300" s="3"/>
      <c r="E1300" s="3"/>
      <c r="F1300" s="90" t="s">
        <v>49</v>
      </c>
      <c r="G1300" s="2">
        <v>620</v>
      </c>
      <c r="H1300" s="3" t="s">
        <v>124</v>
      </c>
      <c r="I1300" s="4">
        <f>23565+1230</f>
        <v>24795</v>
      </c>
      <c r="J1300" s="4">
        <v>24795</v>
      </c>
      <c r="K1300" s="361">
        <f t="shared" si="195"/>
        <v>100</v>
      </c>
      <c r="L1300" s="4"/>
      <c r="M1300" s="4"/>
      <c r="N1300" s="361"/>
      <c r="O1300" s="92">
        <f t="shared" si="187"/>
        <v>24795</v>
      </c>
      <c r="P1300" s="92">
        <f t="shared" si="188"/>
        <v>24795</v>
      </c>
      <c r="Q1300" s="361">
        <f t="shared" si="189"/>
        <v>100</v>
      </c>
    </row>
    <row r="1301" spans="2:17" x14ac:dyDescent="0.2">
      <c r="B1301" s="18">
        <f t="shared" si="194"/>
        <v>806</v>
      </c>
      <c r="C1301" s="3"/>
      <c r="D1301" s="3"/>
      <c r="E1301" s="3"/>
      <c r="F1301" s="90" t="s">
        <v>49</v>
      </c>
      <c r="G1301" s="2">
        <v>630</v>
      </c>
      <c r="H1301" s="3" t="s">
        <v>121</v>
      </c>
      <c r="I1301" s="4">
        <f>I1306+I1305+I1304+I1303+I1302</f>
        <v>204658</v>
      </c>
      <c r="J1301" s="4">
        <f>J1306+J1305+J1304+J1303+J1302</f>
        <v>213196</v>
      </c>
      <c r="K1301" s="361">
        <f t="shared" si="195"/>
        <v>104.17183789541578</v>
      </c>
      <c r="L1301" s="4"/>
      <c r="M1301" s="4"/>
      <c r="N1301" s="361"/>
      <c r="O1301" s="92">
        <f t="shared" si="187"/>
        <v>204658</v>
      </c>
      <c r="P1301" s="92">
        <f t="shared" si="188"/>
        <v>213196</v>
      </c>
      <c r="Q1301" s="361">
        <f t="shared" si="189"/>
        <v>104.17183789541578</v>
      </c>
    </row>
    <row r="1302" spans="2:17" x14ac:dyDescent="0.2">
      <c r="B1302" s="18">
        <f t="shared" si="194"/>
        <v>807</v>
      </c>
      <c r="C1302" s="6"/>
      <c r="D1302" s="6"/>
      <c r="E1302" s="6"/>
      <c r="F1302" s="93"/>
      <c r="G1302" s="5">
        <v>631</v>
      </c>
      <c r="H1302" s="6" t="s">
        <v>127</v>
      </c>
      <c r="I1302" s="7">
        <v>55</v>
      </c>
      <c r="J1302" s="7">
        <v>0</v>
      </c>
      <c r="K1302" s="361">
        <f t="shared" si="195"/>
        <v>0</v>
      </c>
      <c r="L1302" s="7"/>
      <c r="M1302" s="7"/>
      <c r="N1302" s="361"/>
      <c r="O1302" s="95">
        <f t="shared" si="187"/>
        <v>55</v>
      </c>
      <c r="P1302" s="95">
        <f t="shared" si="188"/>
        <v>0</v>
      </c>
      <c r="Q1302" s="361">
        <f t="shared" si="189"/>
        <v>0</v>
      </c>
    </row>
    <row r="1303" spans="2:17" x14ac:dyDescent="0.2">
      <c r="B1303" s="18">
        <f t="shared" si="194"/>
        <v>808</v>
      </c>
      <c r="C1303" s="6"/>
      <c r="D1303" s="6"/>
      <c r="E1303" s="6"/>
      <c r="F1303" s="93"/>
      <c r="G1303" s="5">
        <v>632</v>
      </c>
      <c r="H1303" s="6" t="s">
        <v>134</v>
      </c>
      <c r="I1303" s="7">
        <f>7800+7360+3200+600</f>
        <v>18960</v>
      </c>
      <c r="J1303" s="7">
        <v>18878</v>
      </c>
      <c r="K1303" s="361">
        <f t="shared" si="195"/>
        <v>99.567510548523202</v>
      </c>
      <c r="L1303" s="7"/>
      <c r="M1303" s="7"/>
      <c r="N1303" s="361"/>
      <c r="O1303" s="95">
        <f t="shared" si="187"/>
        <v>18960</v>
      </c>
      <c r="P1303" s="95">
        <f t="shared" si="188"/>
        <v>18878</v>
      </c>
      <c r="Q1303" s="361">
        <f t="shared" si="189"/>
        <v>99.567510548523202</v>
      </c>
    </row>
    <row r="1304" spans="2:17" x14ac:dyDescent="0.2">
      <c r="B1304" s="18">
        <f t="shared" si="194"/>
        <v>809</v>
      </c>
      <c r="C1304" s="6"/>
      <c r="D1304" s="6"/>
      <c r="E1304" s="6"/>
      <c r="F1304" s="93"/>
      <c r="G1304" s="5">
        <v>633</v>
      </c>
      <c r="H1304" s="6" t="s">
        <v>125</v>
      </c>
      <c r="I1304" s="7">
        <f>109050-9000+74833</f>
        <v>174883</v>
      </c>
      <c r="J1304" s="7">
        <v>183658</v>
      </c>
      <c r="K1304" s="361">
        <f t="shared" si="195"/>
        <v>105.0176403652728</v>
      </c>
      <c r="L1304" s="7"/>
      <c r="M1304" s="7"/>
      <c r="N1304" s="361"/>
      <c r="O1304" s="95">
        <f t="shared" ref="O1304:O1351" si="196">I1304+L1304</f>
        <v>174883</v>
      </c>
      <c r="P1304" s="95">
        <f t="shared" ref="P1304:P1351" si="197">J1304+M1304</f>
        <v>183658</v>
      </c>
      <c r="Q1304" s="361">
        <f t="shared" si="189"/>
        <v>105.0176403652728</v>
      </c>
    </row>
    <row r="1305" spans="2:17" x14ac:dyDescent="0.2">
      <c r="B1305" s="18">
        <f t="shared" si="194"/>
        <v>810</v>
      </c>
      <c r="C1305" s="6"/>
      <c r="D1305" s="6"/>
      <c r="E1305" s="6"/>
      <c r="F1305" s="93"/>
      <c r="G1305" s="5">
        <v>635</v>
      </c>
      <c r="H1305" s="6" t="s">
        <v>133</v>
      </c>
      <c r="I1305" s="7">
        <f>3000+3150</f>
        <v>6150</v>
      </c>
      <c r="J1305" s="7">
        <v>6150</v>
      </c>
      <c r="K1305" s="361">
        <f t="shared" si="195"/>
        <v>100</v>
      </c>
      <c r="L1305" s="7"/>
      <c r="M1305" s="7"/>
      <c r="N1305" s="361"/>
      <c r="O1305" s="95">
        <f t="shared" si="196"/>
        <v>6150</v>
      </c>
      <c r="P1305" s="95">
        <f t="shared" si="197"/>
        <v>6150</v>
      </c>
      <c r="Q1305" s="361">
        <f t="shared" si="189"/>
        <v>100</v>
      </c>
    </row>
    <row r="1306" spans="2:17" x14ac:dyDescent="0.2">
      <c r="B1306" s="18">
        <f t="shared" si="194"/>
        <v>811</v>
      </c>
      <c r="C1306" s="6"/>
      <c r="D1306" s="6"/>
      <c r="E1306" s="6"/>
      <c r="F1306" s="93"/>
      <c r="G1306" s="5">
        <v>637</v>
      </c>
      <c r="H1306" s="6" t="s">
        <v>122</v>
      </c>
      <c r="I1306" s="7">
        <f>50+1400+1200+960+1000</f>
        <v>4610</v>
      </c>
      <c r="J1306" s="7">
        <v>4510</v>
      </c>
      <c r="K1306" s="361">
        <f t="shared" si="195"/>
        <v>97.830802603036886</v>
      </c>
      <c r="L1306" s="7"/>
      <c r="M1306" s="7"/>
      <c r="N1306" s="361"/>
      <c r="O1306" s="95">
        <f t="shared" si="196"/>
        <v>4610</v>
      </c>
      <c r="P1306" s="95">
        <f t="shared" si="197"/>
        <v>4510</v>
      </c>
      <c r="Q1306" s="361">
        <f t="shared" ref="Q1306:Q1351" si="198">P1306/O1306*100</f>
        <v>97.830802603036886</v>
      </c>
    </row>
    <row r="1307" spans="2:17" x14ac:dyDescent="0.2">
      <c r="B1307" s="18">
        <f t="shared" si="194"/>
        <v>812</v>
      </c>
      <c r="C1307" s="3"/>
      <c r="D1307" s="3"/>
      <c r="E1307" s="3"/>
      <c r="F1307" s="90" t="s">
        <v>49</v>
      </c>
      <c r="G1307" s="2">
        <v>640</v>
      </c>
      <c r="H1307" s="3" t="s">
        <v>129</v>
      </c>
      <c r="I1307" s="4">
        <f>3000+1440+2435-1230</f>
        <v>5645</v>
      </c>
      <c r="J1307" s="4">
        <v>2757</v>
      </c>
      <c r="K1307" s="361">
        <f t="shared" si="195"/>
        <v>48.839681133746673</v>
      </c>
      <c r="L1307" s="4"/>
      <c r="M1307" s="4"/>
      <c r="N1307" s="361"/>
      <c r="O1307" s="92">
        <f t="shared" si="196"/>
        <v>5645</v>
      </c>
      <c r="P1307" s="92">
        <f t="shared" si="197"/>
        <v>2757</v>
      </c>
      <c r="Q1307" s="361">
        <f t="shared" si="198"/>
        <v>48.839681133746673</v>
      </c>
    </row>
    <row r="1308" spans="2:17" x14ac:dyDescent="0.2">
      <c r="B1308" s="18">
        <f t="shared" si="194"/>
        <v>813</v>
      </c>
      <c r="C1308" s="3"/>
      <c r="D1308" s="3"/>
      <c r="E1308" s="3"/>
      <c r="F1308" s="90" t="s">
        <v>49</v>
      </c>
      <c r="G1308" s="2">
        <v>710</v>
      </c>
      <c r="H1308" s="3" t="s">
        <v>175</v>
      </c>
      <c r="I1308" s="4"/>
      <c r="J1308" s="4"/>
      <c r="K1308" s="361"/>
      <c r="L1308" s="4">
        <f>L1309</f>
        <v>22880</v>
      </c>
      <c r="M1308" s="4">
        <f>M1309</f>
        <v>22880</v>
      </c>
      <c r="N1308" s="361">
        <f>M1308/L1308*100</f>
        <v>100</v>
      </c>
      <c r="O1308" s="92">
        <f t="shared" si="196"/>
        <v>22880</v>
      </c>
      <c r="P1308" s="92">
        <f t="shared" si="197"/>
        <v>22880</v>
      </c>
      <c r="Q1308" s="361">
        <f t="shared" si="198"/>
        <v>100</v>
      </c>
    </row>
    <row r="1309" spans="2:17" x14ac:dyDescent="0.2">
      <c r="B1309" s="18">
        <f t="shared" si="194"/>
        <v>814</v>
      </c>
      <c r="C1309" s="3"/>
      <c r="D1309" s="3"/>
      <c r="E1309" s="3"/>
      <c r="F1309" s="90"/>
      <c r="G1309" s="5">
        <v>713</v>
      </c>
      <c r="H1309" s="6" t="s">
        <v>218</v>
      </c>
      <c r="I1309" s="4"/>
      <c r="J1309" s="4"/>
      <c r="K1309" s="361"/>
      <c r="L1309" s="7">
        <f>L1310</f>
        <v>22880</v>
      </c>
      <c r="M1309" s="7">
        <f>M1310</f>
        <v>22880</v>
      </c>
      <c r="N1309" s="361">
        <f>M1309/L1309*100</f>
        <v>100</v>
      </c>
      <c r="O1309" s="95">
        <f t="shared" si="196"/>
        <v>22880</v>
      </c>
      <c r="P1309" s="95">
        <f t="shared" si="197"/>
        <v>22880</v>
      </c>
      <c r="Q1309" s="361">
        <f t="shared" si="198"/>
        <v>100</v>
      </c>
    </row>
    <row r="1310" spans="2:17" x14ac:dyDescent="0.2">
      <c r="B1310" s="18">
        <f t="shared" si="194"/>
        <v>815</v>
      </c>
      <c r="C1310" s="3"/>
      <c r="D1310" s="3"/>
      <c r="E1310" s="3"/>
      <c r="F1310" s="90"/>
      <c r="G1310" s="106"/>
      <c r="H1310" s="9" t="s">
        <v>719</v>
      </c>
      <c r="I1310" s="4"/>
      <c r="J1310" s="4"/>
      <c r="K1310" s="361"/>
      <c r="L1310" s="10">
        <v>22880</v>
      </c>
      <c r="M1310" s="10">
        <v>22880</v>
      </c>
      <c r="N1310" s="361">
        <f>M1310/L1310*100</f>
        <v>100</v>
      </c>
      <c r="O1310" s="108">
        <f t="shared" si="196"/>
        <v>22880</v>
      </c>
      <c r="P1310" s="108">
        <f t="shared" si="197"/>
        <v>22880</v>
      </c>
      <c r="Q1310" s="361">
        <f t="shared" si="198"/>
        <v>100</v>
      </c>
    </row>
    <row r="1311" spans="2:17" ht="15" x14ac:dyDescent="0.25">
      <c r="B1311" s="18">
        <f t="shared" si="194"/>
        <v>816</v>
      </c>
      <c r="C1311" s="176"/>
      <c r="D1311" s="176"/>
      <c r="E1311" s="176">
        <v>13</v>
      </c>
      <c r="F1311" s="177"/>
      <c r="G1311" s="177"/>
      <c r="H1311" s="176" t="s">
        <v>12</v>
      </c>
      <c r="I1311" s="178">
        <f>I1312+I1315+I1316+I1317+I1322+I1323+I1324+I1325</f>
        <v>293341</v>
      </c>
      <c r="J1311" s="178">
        <f>J1312+J1315+J1316+J1317+J1322+J1323+J1324+J1325</f>
        <v>298385</v>
      </c>
      <c r="K1311" s="361">
        <f t="shared" ref="K1311:K1329" si="199">J1311/I1311*100</f>
        <v>101.71950051305475</v>
      </c>
      <c r="L1311" s="178">
        <f>L1330</f>
        <v>5511</v>
      </c>
      <c r="M1311" s="178">
        <f>M1330</f>
        <v>5511</v>
      </c>
      <c r="N1311" s="361">
        <f>M1311/L1311*100</f>
        <v>100</v>
      </c>
      <c r="O1311" s="179">
        <f t="shared" si="196"/>
        <v>298852</v>
      </c>
      <c r="P1311" s="179">
        <f t="shared" si="197"/>
        <v>303896</v>
      </c>
      <c r="Q1311" s="361">
        <f t="shared" si="198"/>
        <v>101.68779195053071</v>
      </c>
    </row>
    <row r="1312" spans="2:17" x14ac:dyDescent="0.2">
      <c r="B1312" s="18">
        <f t="shared" si="194"/>
        <v>817</v>
      </c>
      <c r="C1312" s="3"/>
      <c r="D1312" s="3"/>
      <c r="E1312" s="3"/>
      <c r="F1312" s="90" t="s">
        <v>160</v>
      </c>
      <c r="G1312" s="2">
        <v>630</v>
      </c>
      <c r="H1312" s="3" t="s">
        <v>121</v>
      </c>
      <c r="I1312" s="4">
        <f>I1313+I1314</f>
        <v>27390</v>
      </c>
      <c r="J1312" s="4">
        <f>J1313+J1314</f>
        <v>10381</v>
      </c>
      <c r="K1312" s="361">
        <f t="shared" si="199"/>
        <v>37.900693683826212</v>
      </c>
      <c r="L1312" s="4"/>
      <c r="M1312" s="4"/>
      <c r="N1312" s="361"/>
      <c r="O1312" s="92">
        <f t="shared" si="196"/>
        <v>27390</v>
      </c>
      <c r="P1312" s="92">
        <f t="shared" si="197"/>
        <v>10381</v>
      </c>
      <c r="Q1312" s="361">
        <f t="shared" si="198"/>
        <v>37.900693683826212</v>
      </c>
    </row>
    <row r="1313" spans="2:17" x14ac:dyDescent="0.2">
      <c r="B1313" s="18">
        <f t="shared" si="194"/>
        <v>818</v>
      </c>
      <c r="C1313" s="6"/>
      <c r="D1313" s="6"/>
      <c r="E1313" s="6"/>
      <c r="F1313" s="93"/>
      <c r="G1313" s="5">
        <v>633</v>
      </c>
      <c r="H1313" s="6" t="s">
        <v>125</v>
      </c>
      <c r="I1313" s="7">
        <f>27390-5381</f>
        <v>22009</v>
      </c>
      <c r="J1313" s="7">
        <v>5000</v>
      </c>
      <c r="K1313" s="361">
        <f t="shared" si="199"/>
        <v>22.717979008587395</v>
      </c>
      <c r="L1313" s="7"/>
      <c r="M1313" s="7"/>
      <c r="N1313" s="361"/>
      <c r="O1313" s="95">
        <f t="shared" si="196"/>
        <v>22009</v>
      </c>
      <c r="P1313" s="95">
        <f t="shared" si="197"/>
        <v>5000</v>
      </c>
      <c r="Q1313" s="361">
        <f t="shared" si="198"/>
        <v>22.717979008587395</v>
      </c>
    </row>
    <row r="1314" spans="2:17" x14ac:dyDescent="0.2">
      <c r="B1314" s="18">
        <f t="shared" ref="B1314:B1347" si="200">B1313+1</f>
        <v>819</v>
      </c>
      <c r="C1314" s="6"/>
      <c r="D1314" s="6"/>
      <c r="E1314" s="6"/>
      <c r="F1314" s="93"/>
      <c r="G1314" s="5">
        <v>637</v>
      </c>
      <c r="H1314" s="6" t="s">
        <v>122</v>
      </c>
      <c r="I1314" s="7">
        <v>5381</v>
      </c>
      <c r="J1314" s="7">
        <v>5381</v>
      </c>
      <c r="K1314" s="361">
        <f t="shared" si="199"/>
        <v>100</v>
      </c>
      <c r="L1314" s="7"/>
      <c r="M1314" s="7"/>
      <c r="N1314" s="361"/>
      <c r="O1314" s="95">
        <f t="shared" si="196"/>
        <v>5381</v>
      </c>
      <c r="P1314" s="95">
        <f t="shared" si="197"/>
        <v>5381</v>
      </c>
      <c r="Q1314" s="361">
        <f t="shared" si="198"/>
        <v>100</v>
      </c>
    </row>
    <row r="1315" spans="2:17" x14ac:dyDescent="0.2">
      <c r="B1315" s="18">
        <f t="shared" si="200"/>
        <v>820</v>
      </c>
      <c r="C1315" s="3"/>
      <c r="D1315" s="3"/>
      <c r="E1315" s="3"/>
      <c r="F1315" s="90" t="s">
        <v>79</v>
      </c>
      <c r="G1315" s="2">
        <v>610</v>
      </c>
      <c r="H1315" s="3" t="s">
        <v>131</v>
      </c>
      <c r="I1315" s="4">
        <f>40600+300</f>
        <v>40900</v>
      </c>
      <c r="J1315" s="4">
        <v>40900</v>
      </c>
      <c r="K1315" s="361">
        <f t="shared" si="199"/>
        <v>100</v>
      </c>
      <c r="L1315" s="4"/>
      <c r="M1315" s="4"/>
      <c r="N1315" s="361"/>
      <c r="O1315" s="92">
        <f t="shared" si="196"/>
        <v>40900</v>
      </c>
      <c r="P1315" s="92">
        <f t="shared" si="197"/>
        <v>40900</v>
      </c>
      <c r="Q1315" s="361">
        <f t="shared" si="198"/>
        <v>100</v>
      </c>
    </row>
    <row r="1316" spans="2:17" x14ac:dyDescent="0.2">
      <c r="B1316" s="18">
        <f t="shared" si="200"/>
        <v>821</v>
      </c>
      <c r="C1316" s="3"/>
      <c r="D1316" s="3"/>
      <c r="E1316" s="3"/>
      <c r="F1316" s="90" t="s">
        <v>79</v>
      </c>
      <c r="G1316" s="2">
        <v>620</v>
      </c>
      <c r="H1316" s="3" t="s">
        <v>124</v>
      </c>
      <c r="I1316" s="4">
        <v>14890</v>
      </c>
      <c r="J1316" s="4">
        <v>14890</v>
      </c>
      <c r="K1316" s="361">
        <f t="shared" si="199"/>
        <v>100</v>
      </c>
      <c r="L1316" s="4"/>
      <c r="M1316" s="4"/>
      <c r="N1316" s="361"/>
      <c r="O1316" s="92">
        <f t="shared" si="196"/>
        <v>14890</v>
      </c>
      <c r="P1316" s="92">
        <f t="shared" si="197"/>
        <v>14890</v>
      </c>
      <c r="Q1316" s="361">
        <f t="shared" si="198"/>
        <v>100</v>
      </c>
    </row>
    <row r="1317" spans="2:17" x14ac:dyDescent="0.2">
      <c r="B1317" s="18">
        <f t="shared" si="200"/>
        <v>822</v>
      </c>
      <c r="C1317" s="3"/>
      <c r="D1317" s="3"/>
      <c r="E1317" s="3"/>
      <c r="F1317" s="90" t="s">
        <v>79</v>
      </c>
      <c r="G1317" s="2">
        <v>630</v>
      </c>
      <c r="H1317" s="3" t="s">
        <v>121</v>
      </c>
      <c r="I1317" s="4">
        <f>I1321+I1320+I1319+I1318</f>
        <v>64206</v>
      </c>
      <c r="J1317" s="4">
        <f>J1321+J1320+J1319+J1318</f>
        <v>58308</v>
      </c>
      <c r="K1317" s="361">
        <f t="shared" si="199"/>
        <v>90.81394262218484</v>
      </c>
      <c r="L1317" s="4"/>
      <c r="M1317" s="4"/>
      <c r="N1317" s="361"/>
      <c r="O1317" s="92">
        <f t="shared" si="196"/>
        <v>64206</v>
      </c>
      <c r="P1317" s="92">
        <f t="shared" si="197"/>
        <v>58308</v>
      </c>
      <c r="Q1317" s="361">
        <f t="shared" si="198"/>
        <v>90.81394262218484</v>
      </c>
    </row>
    <row r="1318" spans="2:17" x14ac:dyDescent="0.2">
      <c r="B1318" s="18">
        <f t="shared" si="200"/>
        <v>823</v>
      </c>
      <c r="C1318" s="6"/>
      <c r="D1318" s="6"/>
      <c r="E1318" s="6"/>
      <c r="F1318" s="93"/>
      <c r="G1318" s="5">
        <v>632</v>
      </c>
      <c r="H1318" s="6" t="s">
        <v>134</v>
      </c>
      <c r="I1318" s="7">
        <f>200+150+2000+3000+6000+2165-2500</f>
        <v>11015</v>
      </c>
      <c r="J1318" s="7">
        <v>11015</v>
      </c>
      <c r="K1318" s="361">
        <f t="shared" si="199"/>
        <v>100</v>
      </c>
      <c r="L1318" s="7"/>
      <c r="M1318" s="7"/>
      <c r="N1318" s="361"/>
      <c r="O1318" s="95">
        <f t="shared" si="196"/>
        <v>11015</v>
      </c>
      <c r="P1318" s="95">
        <f t="shared" si="197"/>
        <v>11015</v>
      </c>
      <c r="Q1318" s="361">
        <f t="shared" si="198"/>
        <v>100</v>
      </c>
    </row>
    <row r="1319" spans="2:17" x14ac:dyDescent="0.2">
      <c r="B1319" s="18">
        <f t="shared" si="200"/>
        <v>824</v>
      </c>
      <c r="C1319" s="6"/>
      <c r="D1319" s="6"/>
      <c r="E1319" s="6"/>
      <c r="F1319" s="93"/>
      <c r="G1319" s="5">
        <v>633</v>
      </c>
      <c r="H1319" s="6" t="s">
        <v>125</v>
      </c>
      <c r="I1319" s="7">
        <f>70+1500+500+200+100+600+350+38907-4983-5511</f>
        <v>31733</v>
      </c>
      <c r="J1319" s="7">
        <v>25835</v>
      </c>
      <c r="K1319" s="361">
        <f t="shared" si="199"/>
        <v>81.413670311662941</v>
      </c>
      <c r="L1319" s="7"/>
      <c r="M1319" s="7"/>
      <c r="N1319" s="361"/>
      <c r="O1319" s="95">
        <f t="shared" si="196"/>
        <v>31733</v>
      </c>
      <c r="P1319" s="95">
        <f t="shared" si="197"/>
        <v>25835</v>
      </c>
      <c r="Q1319" s="361">
        <f t="shared" si="198"/>
        <v>81.413670311662941</v>
      </c>
    </row>
    <row r="1320" spans="2:17" x14ac:dyDescent="0.2">
      <c r="B1320" s="18">
        <f t="shared" si="200"/>
        <v>825</v>
      </c>
      <c r="C1320" s="6"/>
      <c r="D1320" s="6"/>
      <c r="E1320" s="6"/>
      <c r="F1320" s="93"/>
      <c r="G1320" s="5">
        <v>635</v>
      </c>
      <c r="H1320" s="6" t="s">
        <v>133</v>
      </c>
      <c r="I1320" s="7">
        <f>700+10000+4983</f>
        <v>15683</v>
      </c>
      <c r="J1320" s="7">
        <v>15683</v>
      </c>
      <c r="K1320" s="361">
        <f t="shared" si="199"/>
        <v>100</v>
      </c>
      <c r="L1320" s="7"/>
      <c r="M1320" s="7"/>
      <c r="N1320" s="361"/>
      <c r="O1320" s="95">
        <f t="shared" si="196"/>
        <v>15683</v>
      </c>
      <c r="P1320" s="95">
        <f t="shared" si="197"/>
        <v>15683</v>
      </c>
      <c r="Q1320" s="361">
        <f t="shared" si="198"/>
        <v>100</v>
      </c>
    </row>
    <row r="1321" spans="2:17" x14ac:dyDescent="0.2">
      <c r="B1321" s="18">
        <f t="shared" si="200"/>
        <v>826</v>
      </c>
      <c r="C1321" s="6"/>
      <c r="D1321" s="6"/>
      <c r="E1321" s="6"/>
      <c r="F1321" s="93"/>
      <c r="G1321" s="5">
        <v>637</v>
      </c>
      <c r="H1321" s="6" t="s">
        <v>122</v>
      </c>
      <c r="I1321" s="7">
        <f>800+1500+250+750+650+1825</f>
        <v>5775</v>
      </c>
      <c r="J1321" s="7">
        <v>5775</v>
      </c>
      <c r="K1321" s="361">
        <f t="shared" si="199"/>
        <v>100</v>
      </c>
      <c r="L1321" s="7"/>
      <c r="M1321" s="7"/>
      <c r="N1321" s="361"/>
      <c r="O1321" s="95">
        <f t="shared" si="196"/>
        <v>5775</v>
      </c>
      <c r="P1321" s="95">
        <f t="shared" si="197"/>
        <v>5775</v>
      </c>
      <c r="Q1321" s="361">
        <f t="shared" si="198"/>
        <v>100</v>
      </c>
    </row>
    <row r="1322" spans="2:17" x14ac:dyDescent="0.2">
      <c r="B1322" s="18">
        <f t="shared" si="200"/>
        <v>827</v>
      </c>
      <c r="C1322" s="3"/>
      <c r="D1322" s="3"/>
      <c r="E1322" s="3"/>
      <c r="F1322" s="90" t="s">
        <v>79</v>
      </c>
      <c r="G1322" s="2">
        <v>640</v>
      </c>
      <c r="H1322" s="3" t="s">
        <v>129</v>
      </c>
      <c r="I1322" s="4">
        <f>1985+200+300+375</f>
        <v>2860</v>
      </c>
      <c r="J1322" s="4">
        <v>2860</v>
      </c>
      <c r="K1322" s="361">
        <f t="shared" si="199"/>
        <v>100</v>
      </c>
      <c r="L1322" s="4"/>
      <c r="M1322" s="4"/>
      <c r="N1322" s="361"/>
      <c r="O1322" s="92">
        <f t="shared" si="196"/>
        <v>2860</v>
      </c>
      <c r="P1322" s="92">
        <f t="shared" si="197"/>
        <v>2860</v>
      </c>
      <c r="Q1322" s="361">
        <f t="shared" si="198"/>
        <v>100</v>
      </c>
    </row>
    <row r="1323" spans="2:17" x14ac:dyDescent="0.2">
      <c r="B1323" s="18">
        <f t="shared" si="200"/>
        <v>828</v>
      </c>
      <c r="C1323" s="3"/>
      <c r="D1323" s="3"/>
      <c r="E1323" s="3"/>
      <c r="F1323" s="90" t="s">
        <v>49</v>
      </c>
      <c r="G1323" s="2">
        <v>610</v>
      </c>
      <c r="H1323" s="3" t="s">
        <v>131</v>
      </c>
      <c r="I1323" s="4">
        <f>41300+300</f>
        <v>41600</v>
      </c>
      <c r="J1323" s="4">
        <v>41600</v>
      </c>
      <c r="K1323" s="361">
        <f t="shared" si="199"/>
        <v>100</v>
      </c>
      <c r="L1323" s="4"/>
      <c r="M1323" s="4"/>
      <c r="N1323" s="361"/>
      <c r="O1323" s="92">
        <f t="shared" si="196"/>
        <v>41600</v>
      </c>
      <c r="P1323" s="92">
        <f t="shared" si="197"/>
        <v>41600</v>
      </c>
      <c r="Q1323" s="361">
        <f t="shared" si="198"/>
        <v>100</v>
      </c>
    </row>
    <row r="1324" spans="2:17" x14ac:dyDescent="0.2">
      <c r="B1324" s="18">
        <f t="shared" si="200"/>
        <v>829</v>
      </c>
      <c r="C1324" s="3"/>
      <c r="D1324" s="3"/>
      <c r="E1324" s="3"/>
      <c r="F1324" s="90" t="s">
        <v>49</v>
      </c>
      <c r="G1324" s="2">
        <v>620</v>
      </c>
      <c r="H1324" s="3" t="s">
        <v>124</v>
      </c>
      <c r="I1324" s="4">
        <v>14400</v>
      </c>
      <c r="J1324" s="4">
        <v>14400</v>
      </c>
      <c r="K1324" s="361">
        <f t="shared" si="199"/>
        <v>100</v>
      </c>
      <c r="L1324" s="4"/>
      <c r="M1324" s="4"/>
      <c r="N1324" s="361"/>
      <c r="O1324" s="92">
        <f t="shared" si="196"/>
        <v>14400</v>
      </c>
      <c r="P1324" s="92">
        <f t="shared" si="197"/>
        <v>14400</v>
      </c>
      <c r="Q1324" s="361">
        <f t="shared" si="198"/>
        <v>100</v>
      </c>
    </row>
    <row r="1325" spans="2:17" x14ac:dyDescent="0.2">
      <c r="B1325" s="18">
        <f t="shared" si="200"/>
        <v>830</v>
      </c>
      <c r="C1325" s="3"/>
      <c r="D1325" s="3"/>
      <c r="E1325" s="3"/>
      <c r="F1325" s="90" t="s">
        <v>49</v>
      </c>
      <c r="G1325" s="2">
        <v>630</v>
      </c>
      <c r="H1325" s="3" t="s">
        <v>121</v>
      </c>
      <c r="I1325" s="4">
        <f>I1329+I1328+I1327+I1326</f>
        <v>87095</v>
      </c>
      <c r="J1325" s="4">
        <f>J1329+J1328+J1327+J1326</f>
        <v>115046</v>
      </c>
      <c r="K1325" s="361">
        <f t="shared" si="199"/>
        <v>132.0925426258683</v>
      </c>
      <c r="L1325" s="4"/>
      <c r="M1325" s="4"/>
      <c r="N1325" s="361"/>
      <c r="O1325" s="92">
        <f t="shared" si="196"/>
        <v>87095</v>
      </c>
      <c r="P1325" s="92">
        <f t="shared" si="197"/>
        <v>115046</v>
      </c>
      <c r="Q1325" s="361">
        <f t="shared" si="198"/>
        <v>132.0925426258683</v>
      </c>
    </row>
    <row r="1326" spans="2:17" x14ac:dyDescent="0.2">
      <c r="B1326" s="18">
        <f t="shared" si="200"/>
        <v>831</v>
      </c>
      <c r="C1326" s="6"/>
      <c r="D1326" s="6"/>
      <c r="E1326" s="6"/>
      <c r="F1326" s="93"/>
      <c r="G1326" s="5">
        <v>632</v>
      </c>
      <c r="H1326" s="6" t="s">
        <v>134</v>
      </c>
      <c r="I1326" s="7">
        <f>100+350+150+2000+3000+7000+4000</f>
        <v>16600</v>
      </c>
      <c r="J1326" s="7">
        <v>16600</v>
      </c>
      <c r="K1326" s="361">
        <f t="shared" si="199"/>
        <v>100</v>
      </c>
      <c r="L1326" s="7"/>
      <c r="M1326" s="7"/>
      <c r="N1326" s="361"/>
      <c r="O1326" s="95">
        <f t="shared" si="196"/>
        <v>16600</v>
      </c>
      <c r="P1326" s="95">
        <f t="shared" si="197"/>
        <v>16600</v>
      </c>
      <c r="Q1326" s="361">
        <f t="shared" si="198"/>
        <v>100</v>
      </c>
    </row>
    <row r="1327" spans="2:17" x14ac:dyDescent="0.2">
      <c r="B1327" s="18">
        <f t="shared" si="200"/>
        <v>832</v>
      </c>
      <c r="C1327" s="6"/>
      <c r="D1327" s="6"/>
      <c r="E1327" s="6"/>
      <c r="F1327" s="93"/>
      <c r="G1327" s="5">
        <v>633</v>
      </c>
      <c r="H1327" s="6" t="s">
        <v>125</v>
      </c>
      <c r="I1327" s="7">
        <f>1000+400+300+5000+400+56785-1300</f>
        <v>62585</v>
      </c>
      <c r="J1327" s="7">
        <v>83097</v>
      </c>
      <c r="K1327" s="361">
        <f t="shared" si="199"/>
        <v>132.77462650794916</v>
      </c>
      <c r="L1327" s="7"/>
      <c r="M1327" s="7"/>
      <c r="N1327" s="361"/>
      <c r="O1327" s="95">
        <f t="shared" si="196"/>
        <v>62585</v>
      </c>
      <c r="P1327" s="95">
        <f t="shared" si="197"/>
        <v>83097</v>
      </c>
      <c r="Q1327" s="361">
        <f t="shared" si="198"/>
        <v>132.77462650794916</v>
      </c>
    </row>
    <row r="1328" spans="2:17" x14ac:dyDescent="0.2">
      <c r="B1328" s="18">
        <f t="shared" si="200"/>
        <v>833</v>
      </c>
      <c r="C1328" s="6"/>
      <c r="D1328" s="6"/>
      <c r="E1328" s="6"/>
      <c r="F1328" s="93"/>
      <c r="G1328" s="5">
        <v>635</v>
      </c>
      <c r="H1328" s="6" t="s">
        <v>133</v>
      </c>
      <c r="I1328" s="7">
        <f>800+2000</f>
        <v>2800</v>
      </c>
      <c r="J1328" s="7">
        <v>2800</v>
      </c>
      <c r="K1328" s="361">
        <f t="shared" si="199"/>
        <v>100</v>
      </c>
      <c r="L1328" s="7"/>
      <c r="M1328" s="7"/>
      <c r="N1328" s="361"/>
      <c r="O1328" s="95">
        <f t="shared" si="196"/>
        <v>2800</v>
      </c>
      <c r="P1328" s="95">
        <f t="shared" si="197"/>
        <v>2800</v>
      </c>
      <c r="Q1328" s="361">
        <f t="shared" si="198"/>
        <v>100</v>
      </c>
    </row>
    <row r="1329" spans="2:17" x14ac:dyDescent="0.2">
      <c r="B1329" s="18">
        <f t="shared" si="200"/>
        <v>834</v>
      </c>
      <c r="C1329" s="6"/>
      <c r="D1329" s="6"/>
      <c r="E1329" s="6"/>
      <c r="F1329" s="93"/>
      <c r="G1329" s="5">
        <v>637</v>
      </c>
      <c r="H1329" s="6" t="s">
        <v>122</v>
      </c>
      <c r="I1329" s="7">
        <f>60+1500+250+700+600+500+1500</f>
        <v>5110</v>
      </c>
      <c r="J1329" s="7">
        <v>12549</v>
      </c>
      <c r="K1329" s="361">
        <f t="shared" si="199"/>
        <v>245.57729941291586</v>
      </c>
      <c r="L1329" s="7"/>
      <c r="M1329" s="7"/>
      <c r="N1329" s="361"/>
      <c r="O1329" s="95">
        <f t="shared" si="196"/>
        <v>5110</v>
      </c>
      <c r="P1329" s="95">
        <f t="shared" si="197"/>
        <v>12549</v>
      </c>
      <c r="Q1329" s="361">
        <f t="shared" si="198"/>
        <v>245.57729941291586</v>
      </c>
    </row>
    <row r="1330" spans="2:17" x14ac:dyDescent="0.2">
      <c r="B1330" s="18">
        <f t="shared" si="200"/>
        <v>835</v>
      </c>
      <c r="C1330" s="3"/>
      <c r="D1330" s="3"/>
      <c r="E1330" s="3"/>
      <c r="F1330" s="90" t="s">
        <v>79</v>
      </c>
      <c r="G1330" s="2">
        <v>710</v>
      </c>
      <c r="H1330" s="3" t="s">
        <v>175</v>
      </c>
      <c r="I1330" s="4"/>
      <c r="J1330" s="4"/>
      <c r="K1330" s="361"/>
      <c r="L1330" s="4">
        <f>L1331</f>
        <v>5511</v>
      </c>
      <c r="M1330" s="4">
        <f>M1331</f>
        <v>5511</v>
      </c>
      <c r="N1330" s="361">
        <f>M1330/L1330*100</f>
        <v>100</v>
      </c>
      <c r="O1330" s="92">
        <f t="shared" si="196"/>
        <v>5511</v>
      </c>
      <c r="P1330" s="92">
        <f t="shared" si="197"/>
        <v>5511</v>
      </c>
      <c r="Q1330" s="361">
        <f t="shared" si="198"/>
        <v>100</v>
      </c>
    </row>
    <row r="1331" spans="2:17" x14ac:dyDescent="0.2">
      <c r="B1331" s="18">
        <f t="shared" si="200"/>
        <v>836</v>
      </c>
      <c r="C1331" s="3"/>
      <c r="D1331" s="3"/>
      <c r="E1331" s="3"/>
      <c r="F1331" s="90"/>
      <c r="G1331" s="5">
        <v>713</v>
      </c>
      <c r="H1331" s="6" t="s">
        <v>218</v>
      </c>
      <c r="I1331" s="4"/>
      <c r="J1331" s="4"/>
      <c r="K1331" s="361"/>
      <c r="L1331" s="7">
        <f>L1332</f>
        <v>5511</v>
      </c>
      <c r="M1331" s="7">
        <f>M1332</f>
        <v>5511</v>
      </c>
      <c r="N1331" s="361">
        <f>M1331/L1331*100</f>
        <v>100</v>
      </c>
      <c r="O1331" s="95">
        <f t="shared" si="196"/>
        <v>5511</v>
      </c>
      <c r="P1331" s="95">
        <f t="shared" si="197"/>
        <v>5511</v>
      </c>
      <c r="Q1331" s="361">
        <f t="shared" si="198"/>
        <v>100</v>
      </c>
    </row>
    <row r="1332" spans="2:17" x14ac:dyDescent="0.2">
      <c r="B1332" s="18">
        <f t="shared" si="200"/>
        <v>837</v>
      </c>
      <c r="C1332" s="3"/>
      <c r="D1332" s="3"/>
      <c r="E1332" s="3"/>
      <c r="F1332" s="90"/>
      <c r="G1332" s="106"/>
      <c r="H1332" s="9" t="s">
        <v>733</v>
      </c>
      <c r="I1332" s="4"/>
      <c r="J1332" s="4"/>
      <c r="K1332" s="361"/>
      <c r="L1332" s="10">
        <v>5511</v>
      </c>
      <c r="M1332" s="10">
        <v>5511</v>
      </c>
      <c r="N1332" s="361">
        <f>M1332/L1332*100</f>
        <v>100</v>
      </c>
      <c r="O1332" s="108">
        <f t="shared" si="196"/>
        <v>5511</v>
      </c>
      <c r="P1332" s="108">
        <f t="shared" si="197"/>
        <v>5511</v>
      </c>
      <c r="Q1332" s="361">
        <f t="shared" si="198"/>
        <v>100</v>
      </c>
    </row>
    <row r="1333" spans="2:17" ht="15" x14ac:dyDescent="0.2">
      <c r="B1333" s="18">
        <f t="shared" si="200"/>
        <v>838</v>
      </c>
      <c r="C1333" s="82">
        <v>5</v>
      </c>
      <c r="D1333" s="495" t="s">
        <v>120</v>
      </c>
      <c r="E1333" s="496"/>
      <c r="F1333" s="496"/>
      <c r="G1333" s="496"/>
      <c r="H1333" s="496"/>
      <c r="I1333" s="83">
        <f>I1334+I1337+I1344+I1349</f>
        <v>163566</v>
      </c>
      <c r="J1333" s="83">
        <f>J1334+J1337+J1344+J1349</f>
        <v>91215</v>
      </c>
      <c r="K1333" s="361">
        <f t="shared" ref="K1333:K1351" si="201">J1333/I1333*100</f>
        <v>55.766479586222076</v>
      </c>
      <c r="L1333" s="83"/>
      <c r="M1333" s="83"/>
      <c r="N1333" s="361"/>
      <c r="O1333" s="99">
        <f t="shared" si="196"/>
        <v>163566</v>
      </c>
      <c r="P1333" s="99">
        <f t="shared" si="197"/>
        <v>91215</v>
      </c>
      <c r="Q1333" s="361">
        <f t="shared" si="198"/>
        <v>55.766479586222076</v>
      </c>
    </row>
    <row r="1334" spans="2:17" x14ac:dyDescent="0.2">
      <c r="B1334" s="18">
        <f t="shared" si="200"/>
        <v>839</v>
      </c>
      <c r="C1334" s="190"/>
      <c r="D1334" s="190"/>
      <c r="E1334" s="190"/>
      <c r="F1334" s="191"/>
      <c r="G1334" s="191"/>
      <c r="H1334" s="190" t="s">
        <v>128</v>
      </c>
      <c r="I1334" s="192">
        <f>I1335</f>
        <v>4900</v>
      </c>
      <c r="J1334" s="192">
        <f>J1335</f>
        <v>4257</v>
      </c>
      <c r="K1334" s="361">
        <f t="shared" si="201"/>
        <v>86.877551020408163</v>
      </c>
      <c r="L1334" s="192"/>
      <c r="M1334" s="192"/>
      <c r="N1334" s="361"/>
      <c r="O1334" s="193">
        <f t="shared" si="196"/>
        <v>4900</v>
      </c>
      <c r="P1334" s="193">
        <f t="shared" si="197"/>
        <v>4257</v>
      </c>
      <c r="Q1334" s="361">
        <f t="shared" si="198"/>
        <v>86.877551020408163</v>
      </c>
    </row>
    <row r="1335" spans="2:17" x14ac:dyDescent="0.2">
      <c r="B1335" s="18">
        <f t="shared" si="200"/>
        <v>840</v>
      </c>
      <c r="C1335" s="3"/>
      <c r="D1335" s="3"/>
      <c r="E1335" s="3"/>
      <c r="F1335" s="90" t="s">
        <v>50</v>
      </c>
      <c r="G1335" s="2">
        <v>630</v>
      </c>
      <c r="H1335" s="3" t="s">
        <v>121</v>
      </c>
      <c r="I1335" s="4">
        <f>I1336</f>
        <v>4900</v>
      </c>
      <c r="J1335" s="4">
        <f>J1336</f>
        <v>4257</v>
      </c>
      <c r="K1335" s="361">
        <f t="shared" si="201"/>
        <v>86.877551020408163</v>
      </c>
      <c r="L1335" s="4"/>
      <c r="M1335" s="4"/>
      <c r="N1335" s="361"/>
      <c r="O1335" s="92">
        <f t="shared" si="196"/>
        <v>4900</v>
      </c>
      <c r="P1335" s="92">
        <f t="shared" si="197"/>
        <v>4257</v>
      </c>
      <c r="Q1335" s="361">
        <f t="shared" si="198"/>
        <v>86.877551020408163</v>
      </c>
    </row>
    <row r="1336" spans="2:17" x14ac:dyDescent="0.2">
      <c r="B1336" s="18">
        <f t="shared" si="200"/>
        <v>841</v>
      </c>
      <c r="C1336" s="6"/>
      <c r="D1336" s="6"/>
      <c r="E1336" s="6"/>
      <c r="F1336" s="93"/>
      <c r="G1336" s="5">
        <v>633</v>
      </c>
      <c r="H1336" s="6" t="s">
        <v>125</v>
      </c>
      <c r="I1336" s="7">
        <f>900+4000</f>
        <v>4900</v>
      </c>
      <c r="J1336" s="7">
        <f>356+3119+782</f>
        <v>4257</v>
      </c>
      <c r="K1336" s="361">
        <f t="shared" si="201"/>
        <v>86.877551020408163</v>
      </c>
      <c r="L1336" s="7"/>
      <c r="M1336" s="7"/>
      <c r="N1336" s="361"/>
      <c r="O1336" s="95">
        <f t="shared" si="196"/>
        <v>4900</v>
      </c>
      <c r="P1336" s="95">
        <f t="shared" si="197"/>
        <v>4257</v>
      </c>
      <c r="Q1336" s="361">
        <f t="shared" si="198"/>
        <v>86.877551020408163</v>
      </c>
    </row>
    <row r="1337" spans="2:17" x14ac:dyDescent="0.2">
      <c r="B1337" s="18">
        <f t="shared" si="200"/>
        <v>842</v>
      </c>
      <c r="C1337" s="190"/>
      <c r="D1337" s="190"/>
      <c r="E1337" s="190"/>
      <c r="F1337" s="191"/>
      <c r="G1337" s="191"/>
      <c r="H1337" s="190" t="s">
        <v>123</v>
      </c>
      <c r="I1337" s="192">
        <f>I1338+I1339+I1340+I1343</f>
        <v>59650</v>
      </c>
      <c r="J1337" s="192">
        <f>J1338+J1339+J1340+J1343</f>
        <v>57008</v>
      </c>
      <c r="K1337" s="361">
        <f t="shared" si="201"/>
        <v>95.57082984073763</v>
      </c>
      <c r="L1337" s="192"/>
      <c r="M1337" s="192"/>
      <c r="N1337" s="361"/>
      <c r="O1337" s="193">
        <f t="shared" si="196"/>
        <v>59650</v>
      </c>
      <c r="P1337" s="193">
        <f t="shared" si="197"/>
        <v>57008</v>
      </c>
      <c r="Q1337" s="361">
        <f t="shared" si="198"/>
        <v>95.57082984073763</v>
      </c>
    </row>
    <row r="1338" spans="2:17" x14ac:dyDescent="0.2">
      <c r="B1338" s="18">
        <f t="shared" si="200"/>
        <v>843</v>
      </c>
      <c r="C1338" s="3"/>
      <c r="D1338" s="3"/>
      <c r="E1338" s="3"/>
      <c r="F1338" s="90" t="s">
        <v>50</v>
      </c>
      <c r="G1338" s="2">
        <v>610</v>
      </c>
      <c r="H1338" s="3" t="s">
        <v>131</v>
      </c>
      <c r="I1338" s="4">
        <f>33000+7000</f>
        <v>40000</v>
      </c>
      <c r="J1338" s="4">
        <v>39949</v>
      </c>
      <c r="K1338" s="361">
        <f t="shared" si="201"/>
        <v>99.872500000000002</v>
      </c>
      <c r="L1338" s="4"/>
      <c r="M1338" s="4"/>
      <c r="N1338" s="361"/>
      <c r="O1338" s="92">
        <f t="shared" si="196"/>
        <v>40000</v>
      </c>
      <c r="P1338" s="92">
        <f t="shared" si="197"/>
        <v>39949</v>
      </c>
      <c r="Q1338" s="361">
        <f t="shared" si="198"/>
        <v>99.872500000000002</v>
      </c>
    </row>
    <row r="1339" spans="2:17" x14ac:dyDescent="0.2">
      <c r="B1339" s="18">
        <f t="shared" si="200"/>
        <v>844</v>
      </c>
      <c r="C1339" s="3"/>
      <c r="D1339" s="3"/>
      <c r="E1339" s="3"/>
      <c r="F1339" s="90" t="s">
        <v>50</v>
      </c>
      <c r="G1339" s="2">
        <v>620</v>
      </c>
      <c r="H1339" s="3" t="s">
        <v>124</v>
      </c>
      <c r="I1339" s="4">
        <f>4000+560+5600+320+1200+400+1900+800</f>
        <v>14780</v>
      </c>
      <c r="J1339" s="4">
        <v>14780</v>
      </c>
      <c r="K1339" s="361">
        <f t="shared" si="201"/>
        <v>100</v>
      </c>
      <c r="L1339" s="4"/>
      <c r="M1339" s="4"/>
      <c r="N1339" s="361"/>
      <c r="O1339" s="92">
        <f t="shared" si="196"/>
        <v>14780</v>
      </c>
      <c r="P1339" s="92">
        <f t="shared" si="197"/>
        <v>14780</v>
      </c>
      <c r="Q1339" s="361">
        <f t="shared" si="198"/>
        <v>100</v>
      </c>
    </row>
    <row r="1340" spans="2:17" x14ac:dyDescent="0.2">
      <c r="B1340" s="18">
        <f t="shared" si="200"/>
        <v>845</v>
      </c>
      <c r="C1340" s="3"/>
      <c r="D1340" s="3"/>
      <c r="E1340" s="3"/>
      <c r="F1340" s="90" t="s">
        <v>50</v>
      </c>
      <c r="G1340" s="2">
        <v>630</v>
      </c>
      <c r="H1340" s="3" t="s">
        <v>121</v>
      </c>
      <c r="I1340" s="4">
        <f>SUM(I1341:I1342)</f>
        <v>2870</v>
      </c>
      <c r="J1340" s="4">
        <f>SUM(J1341:J1342)</f>
        <v>753</v>
      </c>
      <c r="K1340" s="361">
        <f t="shared" si="201"/>
        <v>26.236933797909405</v>
      </c>
      <c r="L1340" s="4"/>
      <c r="M1340" s="4"/>
      <c r="N1340" s="361"/>
      <c r="O1340" s="92">
        <f t="shared" si="196"/>
        <v>2870</v>
      </c>
      <c r="P1340" s="92">
        <f t="shared" si="197"/>
        <v>753</v>
      </c>
      <c r="Q1340" s="361">
        <f t="shared" si="198"/>
        <v>26.236933797909405</v>
      </c>
    </row>
    <row r="1341" spans="2:17" x14ac:dyDescent="0.2">
      <c r="B1341" s="18">
        <f t="shared" si="200"/>
        <v>846</v>
      </c>
      <c r="C1341" s="6"/>
      <c r="D1341" s="6"/>
      <c r="E1341" s="6"/>
      <c r="F1341" s="93"/>
      <c r="G1341" s="5">
        <v>633</v>
      </c>
      <c r="H1341" s="6" t="s">
        <v>125</v>
      </c>
      <c r="I1341" s="7">
        <f>400+900</f>
        <v>1300</v>
      </c>
      <c r="J1341" s="7">
        <v>0</v>
      </c>
      <c r="K1341" s="361">
        <f t="shared" si="201"/>
        <v>0</v>
      </c>
      <c r="L1341" s="7"/>
      <c r="M1341" s="7"/>
      <c r="N1341" s="361"/>
      <c r="O1341" s="95">
        <f t="shared" si="196"/>
        <v>1300</v>
      </c>
      <c r="P1341" s="95">
        <f t="shared" si="197"/>
        <v>0</v>
      </c>
      <c r="Q1341" s="361">
        <f t="shared" si="198"/>
        <v>0</v>
      </c>
    </row>
    <row r="1342" spans="2:17" x14ac:dyDescent="0.2">
      <c r="B1342" s="18">
        <f t="shared" si="200"/>
        <v>847</v>
      </c>
      <c r="C1342" s="6"/>
      <c r="D1342" s="6"/>
      <c r="E1342" s="6"/>
      <c r="F1342" s="93"/>
      <c r="G1342" s="5">
        <v>637</v>
      </c>
      <c r="H1342" s="6" t="s">
        <v>122</v>
      </c>
      <c r="I1342" s="7">
        <f>600+550+420</f>
        <v>1570</v>
      </c>
      <c r="J1342" s="7">
        <f>268+485</f>
        <v>753</v>
      </c>
      <c r="K1342" s="361">
        <f t="shared" si="201"/>
        <v>47.961783439490446</v>
      </c>
      <c r="L1342" s="7"/>
      <c r="M1342" s="7"/>
      <c r="N1342" s="361"/>
      <c r="O1342" s="95">
        <f t="shared" si="196"/>
        <v>1570</v>
      </c>
      <c r="P1342" s="95">
        <f t="shared" si="197"/>
        <v>753</v>
      </c>
      <c r="Q1342" s="361">
        <f t="shared" si="198"/>
        <v>47.961783439490446</v>
      </c>
    </row>
    <row r="1343" spans="2:17" x14ac:dyDescent="0.2">
      <c r="B1343" s="18">
        <f t="shared" si="200"/>
        <v>848</v>
      </c>
      <c r="C1343" s="6"/>
      <c r="D1343" s="6"/>
      <c r="E1343" s="6"/>
      <c r="F1343" s="93" t="s">
        <v>50</v>
      </c>
      <c r="G1343" s="2">
        <v>640</v>
      </c>
      <c r="H1343" s="3" t="s">
        <v>129</v>
      </c>
      <c r="I1343" s="4">
        <v>2000</v>
      </c>
      <c r="J1343" s="4">
        <f>1454+72</f>
        <v>1526</v>
      </c>
      <c r="K1343" s="361">
        <f t="shared" si="201"/>
        <v>76.3</v>
      </c>
      <c r="L1343" s="7"/>
      <c r="M1343" s="7"/>
      <c r="N1343" s="361"/>
      <c r="O1343" s="95">
        <f t="shared" si="196"/>
        <v>2000</v>
      </c>
      <c r="P1343" s="95">
        <f t="shared" si="197"/>
        <v>1526</v>
      </c>
      <c r="Q1343" s="361">
        <f t="shared" si="198"/>
        <v>76.3</v>
      </c>
    </row>
    <row r="1344" spans="2:17" x14ac:dyDescent="0.2">
      <c r="B1344" s="18">
        <f t="shared" si="200"/>
        <v>849</v>
      </c>
      <c r="C1344" s="196"/>
      <c r="D1344" s="196"/>
      <c r="E1344" s="196"/>
      <c r="F1344" s="197"/>
      <c r="G1344" s="198"/>
      <c r="H1344" s="196" t="s">
        <v>342</v>
      </c>
      <c r="I1344" s="199">
        <f>I1345</f>
        <v>30500</v>
      </c>
      <c r="J1344" s="199">
        <f>J1345</f>
        <v>29950</v>
      </c>
      <c r="K1344" s="361">
        <f t="shared" si="201"/>
        <v>98.196721311475414</v>
      </c>
      <c r="L1344" s="199"/>
      <c r="M1344" s="199"/>
      <c r="N1344" s="361"/>
      <c r="O1344" s="200">
        <f t="shared" si="196"/>
        <v>30500</v>
      </c>
      <c r="P1344" s="200">
        <f t="shared" si="197"/>
        <v>29950</v>
      </c>
      <c r="Q1344" s="361">
        <f t="shared" si="198"/>
        <v>98.196721311475414</v>
      </c>
    </row>
    <row r="1345" spans="2:17" x14ac:dyDescent="0.2">
      <c r="B1345" s="18">
        <f t="shared" si="200"/>
        <v>850</v>
      </c>
      <c r="C1345" s="3"/>
      <c r="D1345" s="3"/>
      <c r="E1345" s="3"/>
      <c r="F1345" s="90" t="s">
        <v>50</v>
      </c>
      <c r="G1345" s="2">
        <v>640</v>
      </c>
      <c r="H1345" s="3" t="s">
        <v>129</v>
      </c>
      <c r="I1345" s="4">
        <f>SUM(I1346:I1348)</f>
        <v>30500</v>
      </c>
      <c r="J1345" s="4">
        <f>SUM(J1346:J1348)</f>
        <v>29950</v>
      </c>
      <c r="K1345" s="361">
        <f t="shared" si="201"/>
        <v>98.196721311475414</v>
      </c>
      <c r="L1345" s="4"/>
      <c r="M1345" s="4"/>
      <c r="N1345" s="361"/>
      <c r="O1345" s="92">
        <f t="shared" si="196"/>
        <v>30500</v>
      </c>
      <c r="P1345" s="92">
        <f t="shared" si="197"/>
        <v>29950</v>
      </c>
      <c r="Q1345" s="361">
        <f t="shared" si="198"/>
        <v>98.196721311475414</v>
      </c>
    </row>
    <row r="1346" spans="2:17" x14ac:dyDescent="0.2">
      <c r="B1346" s="18">
        <f t="shared" si="200"/>
        <v>851</v>
      </c>
      <c r="C1346" s="6"/>
      <c r="D1346" s="6"/>
      <c r="E1346" s="6"/>
      <c r="F1346" s="93"/>
      <c r="G1346" s="5"/>
      <c r="H1346" s="9" t="s">
        <v>263</v>
      </c>
      <c r="I1346" s="10">
        <v>15000</v>
      </c>
      <c r="J1346" s="10">
        <f>1450+1800+11750</f>
        <v>15000</v>
      </c>
      <c r="K1346" s="361">
        <f t="shared" si="201"/>
        <v>100</v>
      </c>
      <c r="L1346" s="7"/>
      <c r="M1346" s="7"/>
      <c r="N1346" s="361"/>
      <c r="O1346" s="95">
        <f t="shared" si="196"/>
        <v>15000</v>
      </c>
      <c r="P1346" s="95">
        <f t="shared" si="197"/>
        <v>15000</v>
      </c>
      <c r="Q1346" s="361">
        <f t="shared" si="198"/>
        <v>100</v>
      </c>
    </row>
    <row r="1347" spans="2:17" x14ac:dyDescent="0.2">
      <c r="B1347" s="18">
        <f t="shared" si="200"/>
        <v>852</v>
      </c>
      <c r="C1347" s="6"/>
      <c r="D1347" s="6"/>
      <c r="E1347" s="6"/>
      <c r="F1347" s="93"/>
      <c r="G1347" s="5"/>
      <c r="H1347" s="9" t="s">
        <v>13</v>
      </c>
      <c r="I1347" s="10">
        <v>15000</v>
      </c>
      <c r="J1347" s="10">
        <f>13746+704</f>
        <v>14450</v>
      </c>
      <c r="K1347" s="361">
        <f t="shared" si="201"/>
        <v>96.333333333333343</v>
      </c>
      <c r="L1347" s="7"/>
      <c r="M1347" s="7"/>
      <c r="N1347" s="361"/>
      <c r="O1347" s="95">
        <f t="shared" si="196"/>
        <v>15000</v>
      </c>
      <c r="P1347" s="95">
        <f t="shared" si="197"/>
        <v>14450</v>
      </c>
      <c r="Q1347" s="361">
        <f t="shared" si="198"/>
        <v>96.333333333333343</v>
      </c>
    </row>
    <row r="1348" spans="2:17" ht="24" x14ac:dyDescent="0.2">
      <c r="B1348" s="18">
        <f>B1347+1</f>
        <v>853</v>
      </c>
      <c r="C1348" s="212"/>
      <c r="D1348" s="212"/>
      <c r="E1348" s="212"/>
      <c r="F1348" s="213"/>
      <c r="G1348" s="214"/>
      <c r="H1348" s="102" t="s">
        <v>555</v>
      </c>
      <c r="I1348" s="103">
        <v>500</v>
      </c>
      <c r="J1348" s="103">
        <v>500</v>
      </c>
      <c r="K1348" s="380">
        <f t="shared" si="201"/>
        <v>100</v>
      </c>
      <c r="L1348" s="69"/>
      <c r="M1348" s="69"/>
      <c r="N1348" s="380"/>
      <c r="O1348" s="215">
        <f t="shared" si="196"/>
        <v>500</v>
      </c>
      <c r="P1348" s="215">
        <f t="shared" si="197"/>
        <v>500</v>
      </c>
      <c r="Q1348" s="380">
        <f t="shared" si="198"/>
        <v>100</v>
      </c>
    </row>
    <row r="1349" spans="2:17" x14ac:dyDescent="0.2">
      <c r="B1349" s="18">
        <f>B1348+1</f>
        <v>854</v>
      </c>
      <c r="C1349" s="196"/>
      <c r="D1349" s="196"/>
      <c r="E1349" s="196"/>
      <c r="F1349" s="197"/>
      <c r="G1349" s="198"/>
      <c r="H1349" s="196" t="s">
        <v>129</v>
      </c>
      <c r="I1349" s="199">
        <f>I1350</f>
        <v>68516</v>
      </c>
      <c r="J1349" s="199">
        <f>J1350</f>
        <v>0</v>
      </c>
      <c r="K1349" s="361">
        <f t="shared" si="201"/>
        <v>0</v>
      </c>
      <c r="L1349" s="199"/>
      <c r="M1349" s="199"/>
      <c r="N1349" s="361"/>
      <c r="O1349" s="200">
        <f t="shared" si="196"/>
        <v>68516</v>
      </c>
      <c r="P1349" s="200">
        <f t="shared" si="197"/>
        <v>0</v>
      </c>
      <c r="Q1349" s="361">
        <f t="shared" si="198"/>
        <v>0</v>
      </c>
    </row>
    <row r="1350" spans="2:17" x14ac:dyDescent="0.2">
      <c r="B1350" s="18">
        <f>B1349+1</f>
        <v>855</v>
      </c>
      <c r="C1350" s="6"/>
      <c r="D1350" s="6"/>
      <c r="E1350" s="6"/>
      <c r="F1350" s="93" t="s">
        <v>119</v>
      </c>
      <c r="G1350" s="5">
        <v>640</v>
      </c>
      <c r="H1350" s="6" t="s">
        <v>130</v>
      </c>
      <c r="I1350" s="7">
        <f>I1351</f>
        <v>68516</v>
      </c>
      <c r="J1350" s="7">
        <f>J1351</f>
        <v>0</v>
      </c>
      <c r="K1350" s="361">
        <f t="shared" si="201"/>
        <v>0</v>
      </c>
      <c r="L1350" s="7"/>
      <c r="M1350" s="7"/>
      <c r="N1350" s="361"/>
      <c r="O1350" s="95">
        <f t="shared" si="196"/>
        <v>68516</v>
      </c>
      <c r="P1350" s="95">
        <f t="shared" si="197"/>
        <v>0</v>
      </c>
      <c r="Q1350" s="361">
        <f t="shared" si="198"/>
        <v>0</v>
      </c>
    </row>
    <row r="1351" spans="2:17" x14ac:dyDescent="0.2">
      <c r="B1351" s="18">
        <f>B1350+1</f>
        <v>856</v>
      </c>
      <c r="C1351" s="9"/>
      <c r="D1351" s="9"/>
      <c r="E1351" s="9"/>
      <c r="F1351" s="106"/>
      <c r="G1351" s="106"/>
      <c r="H1351" s="9" t="s">
        <v>358</v>
      </c>
      <c r="I1351" s="10">
        <f>30000+33858+160380-500+68399-4800-1000-1500-270-5900-149580-2500-65392+7321</f>
        <v>68516</v>
      </c>
      <c r="J1351" s="10">
        <v>0</v>
      </c>
      <c r="K1351" s="361">
        <f t="shared" si="201"/>
        <v>0</v>
      </c>
      <c r="L1351" s="10"/>
      <c r="M1351" s="10"/>
      <c r="N1351" s="361"/>
      <c r="O1351" s="108">
        <f t="shared" si="196"/>
        <v>68516</v>
      </c>
      <c r="P1351" s="108">
        <f t="shared" si="197"/>
        <v>0</v>
      </c>
      <c r="Q1351" s="361">
        <f t="shared" si="198"/>
        <v>0</v>
      </c>
    </row>
    <row r="1352" spans="2:17" x14ac:dyDescent="0.2">
      <c r="B1352" s="1"/>
      <c r="F1352" s="1"/>
      <c r="G1352" s="1"/>
      <c r="I1352" s="1"/>
      <c r="J1352" s="1"/>
      <c r="K1352" s="1"/>
      <c r="L1352" s="1"/>
      <c r="M1352" s="1"/>
      <c r="N1352" s="1"/>
      <c r="O1352" s="1"/>
    </row>
    <row r="1353" spans="2:17" x14ac:dyDescent="0.2">
      <c r="B1353" s="1"/>
      <c r="F1353" s="1"/>
      <c r="G1353" s="1"/>
      <c r="I1353" s="1"/>
      <c r="J1353" s="1"/>
      <c r="K1353" s="1"/>
      <c r="L1353" s="1"/>
      <c r="M1353" s="1"/>
      <c r="N1353" s="1"/>
      <c r="O1353" s="1"/>
    </row>
    <row r="1354" spans="2:17" x14ac:dyDescent="0.2">
      <c r="B1354" s="1"/>
      <c r="F1354" s="1"/>
      <c r="G1354" s="1"/>
      <c r="I1354" s="1"/>
      <c r="J1354" s="1"/>
      <c r="K1354" s="1"/>
      <c r="L1354" s="1"/>
      <c r="M1354" s="1"/>
      <c r="N1354" s="1"/>
      <c r="O1354" s="1"/>
    </row>
    <row r="1355" spans="2:17" x14ac:dyDescent="0.2">
      <c r="B1355" s="1"/>
      <c r="F1355" s="1"/>
      <c r="G1355" s="1"/>
      <c r="I1355" s="1"/>
      <c r="J1355" s="1"/>
      <c r="K1355" s="1"/>
      <c r="L1355" s="1"/>
      <c r="M1355" s="1"/>
      <c r="N1355" s="1"/>
      <c r="O1355" s="1"/>
    </row>
    <row r="1356" spans="2:17" x14ac:dyDescent="0.2">
      <c r="B1356" s="1"/>
      <c r="F1356" s="1"/>
      <c r="G1356" s="1"/>
      <c r="I1356" s="1"/>
      <c r="J1356" s="1"/>
      <c r="K1356" s="1"/>
      <c r="L1356" s="1"/>
      <c r="M1356" s="1"/>
      <c r="N1356" s="1"/>
      <c r="O1356" s="1"/>
    </row>
    <row r="1357" spans="2:17" ht="27.75" x14ac:dyDescent="0.4">
      <c r="B1357" s="499" t="s">
        <v>409</v>
      </c>
      <c r="C1357" s="500"/>
      <c r="D1357" s="500"/>
      <c r="E1357" s="500"/>
      <c r="F1357" s="500"/>
      <c r="G1357" s="500"/>
      <c r="H1357" s="500"/>
      <c r="I1357" s="500"/>
      <c r="J1357" s="500"/>
      <c r="K1357" s="500"/>
      <c r="L1357" s="500"/>
      <c r="M1357" s="500"/>
      <c r="N1357" s="500"/>
      <c r="O1357" s="500"/>
    </row>
    <row r="1358" spans="2:17" ht="15" customHeight="1" x14ac:dyDescent="0.35">
      <c r="B1358" s="509" t="s">
        <v>418</v>
      </c>
      <c r="C1358" s="510"/>
      <c r="D1358" s="510"/>
      <c r="E1358" s="510"/>
      <c r="F1358" s="510"/>
      <c r="G1358" s="510"/>
      <c r="H1358" s="510"/>
      <c r="I1358" s="510"/>
      <c r="J1358" s="510"/>
      <c r="K1358" s="511"/>
      <c r="L1358" s="510"/>
      <c r="M1358" s="510"/>
      <c r="N1358" s="511"/>
      <c r="O1358" s="501" t="s">
        <v>741</v>
      </c>
      <c r="P1358" s="512" t="s">
        <v>739</v>
      </c>
      <c r="Q1358" s="514" t="s">
        <v>738</v>
      </c>
    </row>
    <row r="1359" spans="2:17" ht="12.75" customHeight="1" x14ac:dyDescent="0.2">
      <c r="B1359" s="503"/>
      <c r="C1359" s="504" t="s">
        <v>114</v>
      </c>
      <c r="D1359" s="504" t="s">
        <v>115</v>
      </c>
      <c r="E1359" s="504"/>
      <c r="F1359" s="504" t="s">
        <v>116</v>
      </c>
      <c r="G1359" s="506" t="s">
        <v>117</v>
      </c>
      <c r="H1359" s="507" t="s">
        <v>118</v>
      </c>
      <c r="I1359" s="508" t="s">
        <v>742</v>
      </c>
      <c r="J1359" s="508" t="s">
        <v>744</v>
      </c>
      <c r="K1359" s="517" t="s">
        <v>738</v>
      </c>
      <c r="L1359" s="505" t="s">
        <v>743</v>
      </c>
      <c r="M1359" s="508" t="s">
        <v>745</v>
      </c>
      <c r="N1359" s="520" t="s">
        <v>738</v>
      </c>
      <c r="O1359" s="502"/>
      <c r="P1359" s="513"/>
      <c r="Q1359" s="515"/>
    </row>
    <row r="1360" spans="2:17" ht="12.75" customHeight="1" x14ac:dyDescent="0.2">
      <c r="B1360" s="503"/>
      <c r="C1360" s="504"/>
      <c r="D1360" s="504"/>
      <c r="E1360" s="504"/>
      <c r="F1360" s="504"/>
      <c r="G1360" s="506"/>
      <c r="H1360" s="507"/>
      <c r="I1360" s="508"/>
      <c r="J1360" s="508"/>
      <c r="K1360" s="518"/>
      <c r="L1360" s="505"/>
      <c r="M1360" s="508"/>
      <c r="N1360" s="521"/>
      <c r="O1360" s="502"/>
      <c r="P1360" s="513"/>
      <c r="Q1360" s="515"/>
    </row>
    <row r="1361" spans="2:17" ht="12.75" customHeight="1" x14ac:dyDescent="0.2">
      <c r="B1361" s="503"/>
      <c r="C1361" s="504"/>
      <c r="D1361" s="504"/>
      <c r="E1361" s="504"/>
      <c r="F1361" s="504"/>
      <c r="G1361" s="506"/>
      <c r="H1361" s="507"/>
      <c r="I1361" s="508"/>
      <c r="J1361" s="508"/>
      <c r="K1361" s="518"/>
      <c r="L1361" s="505"/>
      <c r="M1361" s="508"/>
      <c r="N1361" s="521"/>
      <c r="O1361" s="502"/>
      <c r="P1361" s="513"/>
      <c r="Q1361" s="515"/>
    </row>
    <row r="1362" spans="2:17" ht="12.75" customHeight="1" x14ac:dyDescent="0.2">
      <c r="B1362" s="503"/>
      <c r="C1362" s="504"/>
      <c r="D1362" s="504"/>
      <c r="E1362" s="504"/>
      <c r="F1362" s="504"/>
      <c r="G1362" s="506"/>
      <c r="H1362" s="507"/>
      <c r="I1362" s="508"/>
      <c r="J1362" s="508"/>
      <c r="K1362" s="519"/>
      <c r="L1362" s="505"/>
      <c r="M1362" s="508"/>
      <c r="N1362" s="521"/>
      <c r="O1362" s="502"/>
      <c r="P1362" s="513"/>
      <c r="Q1362" s="516"/>
    </row>
    <row r="1363" spans="2:17" ht="15.75" x14ac:dyDescent="0.2">
      <c r="B1363" s="18">
        <v>1</v>
      </c>
      <c r="C1363" s="493" t="s">
        <v>409</v>
      </c>
      <c r="D1363" s="494"/>
      <c r="E1363" s="494"/>
      <c r="F1363" s="494"/>
      <c r="G1363" s="494"/>
      <c r="H1363" s="494"/>
      <c r="I1363" s="80">
        <f>I1364+I1367+I1384+I1453</f>
        <v>3129045</v>
      </c>
      <c r="J1363" s="80">
        <f>J1364+J1367+J1384+J1453</f>
        <v>2740779</v>
      </c>
      <c r="K1363" s="361">
        <f t="shared" ref="K1363:K1388" si="202">J1363/I1363*100</f>
        <v>87.591549498329357</v>
      </c>
      <c r="L1363" s="80">
        <f>L1453+L1384+L1367+L1364</f>
        <v>49818701</v>
      </c>
      <c r="M1363" s="80">
        <f>M1453+M1384+M1367+M1364</f>
        <v>3140451</v>
      </c>
      <c r="N1363" s="361">
        <f>M1363/L1363*100</f>
        <v>6.3037593051653431</v>
      </c>
      <c r="O1363" s="81">
        <f t="shared" ref="O1363:O1394" si="203">I1363+L1363</f>
        <v>52947746</v>
      </c>
      <c r="P1363" s="81">
        <f t="shared" ref="P1363:P1394" si="204">J1363+M1363</f>
        <v>5881230</v>
      </c>
      <c r="Q1363" s="361">
        <f t="shared" ref="Q1363:Q1394" si="205">P1363/O1363*100</f>
        <v>11.107611644129289</v>
      </c>
    </row>
    <row r="1364" spans="2:17" ht="15" x14ac:dyDescent="0.2">
      <c r="B1364" s="18">
        <f t="shared" ref="B1364:B1395" si="206">B1363+1</f>
        <v>2</v>
      </c>
      <c r="C1364" s="82">
        <v>1</v>
      </c>
      <c r="D1364" s="495" t="s">
        <v>227</v>
      </c>
      <c r="E1364" s="496"/>
      <c r="F1364" s="496"/>
      <c r="G1364" s="496"/>
      <c r="H1364" s="496"/>
      <c r="I1364" s="83">
        <f>I1365</f>
        <v>5415</v>
      </c>
      <c r="J1364" s="83">
        <f>J1365</f>
        <v>5325</v>
      </c>
      <c r="K1364" s="361">
        <f t="shared" si="202"/>
        <v>98.337950138504155</v>
      </c>
      <c r="L1364" s="83"/>
      <c r="M1364" s="83"/>
      <c r="N1364" s="361"/>
      <c r="O1364" s="99">
        <f t="shared" si="203"/>
        <v>5415</v>
      </c>
      <c r="P1364" s="99">
        <f t="shared" si="204"/>
        <v>5325</v>
      </c>
      <c r="Q1364" s="361">
        <f t="shared" si="205"/>
        <v>98.337950138504155</v>
      </c>
    </row>
    <row r="1365" spans="2:17" x14ac:dyDescent="0.2">
      <c r="B1365" s="18">
        <f t="shared" si="206"/>
        <v>3</v>
      </c>
      <c r="C1365" s="3"/>
      <c r="D1365" s="3"/>
      <c r="E1365" s="3"/>
      <c r="F1365" s="90" t="s">
        <v>179</v>
      </c>
      <c r="G1365" s="2">
        <v>630</v>
      </c>
      <c r="H1365" s="3" t="s">
        <v>121</v>
      </c>
      <c r="I1365" s="4">
        <f>I1366</f>
        <v>5415</v>
      </c>
      <c r="J1365" s="4">
        <f>J1366</f>
        <v>5325</v>
      </c>
      <c r="K1365" s="361">
        <f t="shared" si="202"/>
        <v>98.337950138504155</v>
      </c>
      <c r="L1365" s="4"/>
      <c r="M1365" s="4"/>
      <c r="N1365" s="361"/>
      <c r="O1365" s="92">
        <f t="shared" si="203"/>
        <v>5415</v>
      </c>
      <c r="P1365" s="92">
        <f t="shared" si="204"/>
        <v>5325</v>
      </c>
      <c r="Q1365" s="361">
        <f t="shared" si="205"/>
        <v>98.337950138504155</v>
      </c>
    </row>
    <row r="1366" spans="2:17" x14ac:dyDescent="0.2">
      <c r="B1366" s="18">
        <f t="shared" si="206"/>
        <v>4</v>
      </c>
      <c r="C1366" s="6"/>
      <c r="D1366" s="6"/>
      <c r="E1366" s="6"/>
      <c r="F1366" s="93"/>
      <c r="G1366" s="5">
        <v>637</v>
      </c>
      <c r="H1366" s="6" t="s">
        <v>122</v>
      </c>
      <c r="I1366" s="7">
        <v>5415</v>
      </c>
      <c r="J1366" s="7">
        <v>5325</v>
      </c>
      <c r="K1366" s="361">
        <f t="shared" si="202"/>
        <v>98.337950138504155</v>
      </c>
      <c r="L1366" s="7"/>
      <c r="M1366" s="7"/>
      <c r="N1366" s="361"/>
      <c r="O1366" s="95">
        <f t="shared" si="203"/>
        <v>5415</v>
      </c>
      <c r="P1366" s="95">
        <f t="shared" si="204"/>
        <v>5325</v>
      </c>
      <c r="Q1366" s="361">
        <f t="shared" si="205"/>
        <v>98.337950138504155</v>
      </c>
    </row>
    <row r="1367" spans="2:17" ht="15" x14ac:dyDescent="0.2">
      <c r="B1367" s="18">
        <f t="shared" si="206"/>
        <v>5</v>
      </c>
      <c r="C1367" s="82">
        <v>2</v>
      </c>
      <c r="D1367" s="495" t="s">
        <v>367</v>
      </c>
      <c r="E1367" s="496"/>
      <c r="F1367" s="496"/>
      <c r="G1367" s="496"/>
      <c r="H1367" s="496"/>
      <c r="I1367" s="83">
        <f>I1368</f>
        <v>223400</v>
      </c>
      <c r="J1367" s="83">
        <f>J1368</f>
        <v>220400</v>
      </c>
      <c r="K1367" s="361">
        <f t="shared" si="202"/>
        <v>98.657117278424352</v>
      </c>
      <c r="L1367" s="83"/>
      <c r="M1367" s="83"/>
      <c r="N1367" s="361"/>
      <c r="O1367" s="99">
        <f t="shared" si="203"/>
        <v>223400</v>
      </c>
      <c r="P1367" s="99">
        <f t="shared" si="204"/>
        <v>220400</v>
      </c>
      <c r="Q1367" s="361">
        <f t="shared" si="205"/>
        <v>98.657117278424352</v>
      </c>
    </row>
    <row r="1368" spans="2:17" x14ac:dyDescent="0.2">
      <c r="B1368" s="18">
        <f t="shared" si="206"/>
        <v>6</v>
      </c>
      <c r="C1368" s="3"/>
      <c r="D1368" s="3"/>
      <c r="E1368" s="3"/>
      <c r="F1368" s="90" t="s">
        <v>179</v>
      </c>
      <c r="G1368" s="2">
        <v>640</v>
      </c>
      <c r="H1368" s="3" t="s">
        <v>129</v>
      </c>
      <c r="I1368" s="4">
        <f>SUM(I1369:I1383)</f>
        <v>223400</v>
      </c>
      <c r="J1368" s="4">
        <f>SUM(J1369:J1383)</f>
        <v>220400</v>
      </c>
      <c r="K1368" s="361">
        <f t="shared" si="202"/>
        <v>98.657117278424352</v>
      </c>
      <c r="L1368" s="4"/>
      <c r="M1368" s="4"/>
      <c r="N1368" s="361"/>
      <c r="O1368" s="92">
        <f t="shared" si="203"/>
        <v>223400</v>
      </c>
      <c r="P1368" s="92">
        <f t="shared" si="204"/>
        <v>220400</v>
      </c>
      <c r="Q1368" s="361">
        <f t="shared" si="205"/>
        <v>98.657117278424352</v>
      </c>
    </row>
    <row r="1369" spans="2:17" x14ac:dyDescent="0.2">
      <c r="B1369" s="18">
        <f t="shared" si="206"/>
        <v>7</v>
      </c>
      <c r="C1369" s="67"/>
      <c r="D1369" s="67"/>
      <c r="E1369" s="67"/>
      <c r="F1369" s="8"/>
      <c r="G1369" s="8"/>
      <c r="H1369" s="9" t="s">
        <v>467</v>
      </c>
      <c r="I1369" s="10">
        <f>40000-3553</f>
        <v>36447</v>
      </c>
      <c r="J1369" s="10">
        <v>36447</v>
      </c>
      <c r="K1369" s="361">
        <f t="shared" si="202"/>
        <v>100</v>
      </c>
      <c r="L1369" s="11"/>
      <c r="M1369" s="11"/>
      <c r="N1369" s="361"/>
      <c r="O1369" s="108">
        <f t="shared" si="203"/>
        <v>36447</v>
      </c>
      <c r="P1369" s="108">
        <f t="shared" si="204"/>
        <v>36447</v>
      </c>
      <c r="Q1369" s="361">
        <f t="shared" si="205"/>
        <v>100</v>
      </c>
    </row>
    <row r="1370" spans="2:17" x14ac:dyDescent="0.2">
      <c r="B1370" s="18">
        <f t="shared" si="206"/>
        <v>8</v>
      </c>
      <c r="C1370" s="67"/>
      <c r="D1370" s="67"/>
      <c r="E1370" s="67"/>
      <c r="F1370" s="8"/>
      <c r="G1370" s="8"/>
      <c r="H1370" s="9" t="s">
        <v>466</v>
      </c>
      <c r="I1370" s="10">
        <f>35000-500-600</f>
        <v>33900</v>
      </c>
      <c r="J1370" s="10">
        <v>33900</v>
      </c>
      <c r="K1370" s="361">
        <f t="shared" si="202"/>
        <v>100</v>
      </c>
      <c r="L1370" s="11"/>
      <c r="M1370" s="11"/>
      <c r="N1370" s="361"/>
      <c r="O1370" s="108">
        <f t="shared" si="203"/>
        <v>33900</v>
      </c>
      <c r="P1370" s="108">
        <f t="shared" si="204"/>
        <v>33900</v>
      </c>
      <c r="Q1370" s="361">
        <f t="shared" si="205"/>
        <v>100</v>
      </c>
    </row>
    <row r="1371" spans="2:17" ht="36" x14ac:dyDescent="0.2">
      <c r="B1371" s="18">
        <f t="shared" si="206"/>
        <v>9</v>
      </c>
      <c r="C1371" s="100"/>
      <c r="D1371" s="100"/>
      <c r="E1371" s="100"/>
      <c r="F1371" s="268"/>
      <c r="G1371" s="268"/>
      <c r="H1371" s="102" t="s">
        <v>665</v>
      </c>
      <c r="I1371" s="103">
        <v>3553</v>
      </c>
      <c r="J1371" s="103">
        <v>3553</v>
      </c>
      <c r="K1371" s="380">
        <f t="shared" si="202"/>
        <v>100</v>
      </c>
      <c r="L1371" s="269"/>
      <c r="M1371" s="269"/>
      <c r="N1371" s="380"/>
      <c r="O1371" s="105">
        <f t="shared" si="203"/>
        <v>3553</v>
      </c>
      <c r="P1371" s="105">
        <f t="shared" si="204"/>
        <v>3553</v>
      </c>
      <c r="Q1371" s="380">
        <f t="shared" si="205"/>
        <v>100</v>
      </c>
    </row>
    <row r="1372" spans="2:17" x14ac:dyDescent="0.2">
      <c r="B1372" s="18">
        <f t="shared" si="206"/>
        <v>10</v>
      </c>
      <c r="C1372" s="100"/>
      <c r="D1372" s="100"/>
      <c r="E1372" s="100"/>
      <c r="F1372" s="268"/>
      <c r="G1372" s="268"/>
      <c r="H1372" s="381" t="s">
        <v>592</v>
      </c>
      <c r="I1372" s="104">
        <v>40000</v>
      </c>
      <c r="J1372" s="104">
        <v>40000</v>
      </c>
      <c r="K1372" s="380">
        <f t="shared" si="202"/>
        <v>100</v>
      </c>
      <c r="L1372" s="269"/>
      <c r="M1372" s="269"/>
      <c r="N1372" s="380"/>
      <c r="O1372" s="105">
        <f t="shared" si="203"/>
        <v>40000</v>
      </c>
      <c r="P1372" s="105">
        <f t="shared" si="204"/>
        <v>40000</v>
      </c>
      <c r="Q1372" s="380">
        <f t="shared" si="205"/>
        <v>100</v>
      </c>
    </row>
    <row r="1373" spans="2:17" ht="24" x14ac:dyDescent="0.2">
      <c r="B1373" s="18">
        <f t="shared" si="206"/>
        <v>11</v>
      </c>
      <c r="C1373" s="100"/>
      <c r="D1373" s="100"/>
      <c r="E1373" s="100"/>
      <c r="F1373" s="268"/>
      <c r="G1373" s="268"/>
      <c r="H1373" s="102" t="s">
        <v>728</v>
      </c>
      <c r="I1373" s="104">
        <f>1500+1500</f>
        <v>3000</v>
      </c>
      <c r="J1373" s="104">
        <v>0</v>
      </c>
      <c r="K1373" s="380">
        <f t="shared" si="202"/>
        <v>0</v>
      </c>
      <c r="L1373" s="269"/>
      <c r="M1373" s="269"/>
      <c r="N1373" s="380"/>
      <c r="O1373" s="105">
        <f t="shared" si="203"/>
        <v>3000</v>
      </c>
      <c r="P1373" s="105">
        <f t="shared" si="204"/>
        <v>0</v>
      </c>
      <c r="Q1373" s="380">
        <f t="shared" si="205"/>
        <v>0</v>
      </c>
    </row>
    <row r="1374" spans="2:17" x14ac:dyDescent="0.2">
      <c r="B1374" s="18">
        <f t="shared" si="206"/>
        <v>12</v>
      </c>
      <c r="C1374" s="100"/>
      <c r="D1374" s="100"/>
      <c r="E1374" s="100"/>
      <c r="F1374" s="268"/>
      <c r="G1374" s="268"/>
      <c r="H1374" s="381" t="s">
        <v>594</v>
      </c>
      <c r="I1374" s="104">
        <v>17000</v>
      </c>
      <c r="J1374" s="104">
        <v>17000</v>
      </c>
      <c r="K1374" s="380">
        <f t="shared" si="202"/>
        <v>100</v>
      </c>
      <c r="L1374" s="269"/>
      <c r="M1374" s="269"/>
      <c r="N1374" s="380"/>
      <c r="O1374" s="105">
        <f t="shared" si="203"/>
        <v>17000</v>
      </c>
      <c r="P1374" s="105">
        <f t="shared" si="204"/>
        <v>17000</v>
      </c>
      <c r="Q1374" s="380">
        <f t="shared" si="205"/>
        <v>100</v>
      </c>
    </row>
    <row r="1375" spans="2:17" x14ac:dyDescent="0.2">
      <c r="B1375" s="18">
        <f t="shared" si="206"/>
        <v>13</v>
      </c>
      <c r="C1375" s="100"/>
      <c r="D1375" s="100"/>
      <c r="E1375" s="100"/>
      <c r="F1375" s="268"/>
      <c r="G1375" s="268"/>
      <c r="H1375" s="381" t="s">
        <v>761</v>
      </c>
      <c r="I1375" s="104">
        <v>400</v>
      </c>
      <c r="J1375" s="104">
        <v>400</v>
      </c>
      <c r="K1375" s="380">
        <f t="shared" si="202"/>
        <v>100</v>
      </c>
      <c r="L1375" s="269"/>
      <c r="M1375" s="269"/>
      <c r="N1375" s="380"/>
      <c r="O1375" s="105">
        <f t="shared" si="203"/>
        <v>400</v>
      </c>
      <c r="P1375" s="105">
        <f t="shared" si="204"/>
        <v>400</v>
      </c>
      <c r="Q1375" s="380">
        <f t="shared" si="205"/>
        <v>100</v>
      </c>
    </row>
    <row r="1376" spans="2:17" x14ac:dyDescent="0.2">
      <c r="B1376" s="18">
        <f t="shared" si="206"/>
        <v>14</v>
      </c>
      <c r="C1376" s="100"/>
      <c r="D1376" s="100"/>
      <c r="E1376" s="100"/>
      <c r="F1376" s="268"/>
      <c r="G1376" s="268"/>
      <c r="H1376" s="381" t="s">
        <v>595</v>
      </c>
      <c r="I1376" s="104">
        <v>5000</v>
      </c>
      <c r="J1376" s="104">
        <v>5000</v>
      </c>
      <c r="K1376" s="380">
        <f t="shared" si="202"/>
        <v>100</v>
      </c>
      <c r="L1376" s="269"/>
      <c r="M1376" s="269"/>
      <c r="N1376" s="380"/>
      <c r="O1376" s="105">
        <f t="shared" si="203"/>
        <v>5000</v>
      </c>
      <c r="P1376" s="105">
        <f t="shared" si="204"/>
        <v>5000</v>
      </c>
      <c r="Q1376" s="380">
        <f t="shared" si="205"/>
        <v>100</v>
      </c>
    </row>
    <row r="1377" spans="2:17" x14ac:dyDescent="0.2">
      <c r="B1377" s="18">
        <f t="shared" si="206"/>
        <v>15</v>
      </c>
      <c r="C1377" s="100"/>
      <c r="D1377" s="100"/>
      <c r="E1377" s="100"/>
      <c r="F1377" s="268"/>
      <c r="G1377" s="268"/>
      <c r="H1377" s="381" t="s">
        <v>593</v>
      </c>
      <c r="I1377" s="104">
        <v>38000</v>
      </c>
      <c r="J1377" s="104">
        <v>38000</v>
      </c>
      <c r="K1377" s="380">
        <f t="shared" si="202"/>
        <v>100</v>
      </c>
      <c r="L1377" s="269"/>
      <c r="M1377" s="269"/>
      <c r="N1377" s="380"/>
      <c r="O1377" s="105">
        <f t="shared" si="203"/>
        <v>38000</v>
      </c>
      <c r="P1377" s="105">
        <f t="shared" si="204"/>
        <v>38000</v>
      </c>
      <c r="Q1377" s="380">
        <f t="shared" si="205"/>
        <v>100</v>
      </c>
    </row>
    <row r="1378" spans="2:17" x14ac:dyDescent="0.2">
      <c r="B1378" s="18">
        <f t="shared" si="206"/>
        <v>16</v>
      </c>
      <c r="C1378" s="100"/>
      <c r="D1378" s="100"/>
      <c r="E1378" s="100"/>
      <c r="F1378" s="268"/>
      <c r="G1378" s="268"/>
      <c r="H1378" s="381" t="s">
        <v>685</v>
      </c>
      <c r="I1378" s="104">
        <v>15000</v>
      </c>
      <c r="J1378" s="104">
        <v>15000</v>
      </c>
      <c r="K1378" s="380">
        <f t="shared" si="202"/>
        <v>100</v>
      </c>
      <c r="L1378" s="269"/>
      <c r="M1378" s="269"/>
      <c r="N1378" s="380"/>
      <c r="O1378" s="105">
        <f t="shared" si="203"/>
        <v>15000</v>
      </c>
      <c r="P1378" s="105">
        <f t="shared" si="204"/>
        <v>15000</v>
      </c>
      <c r="Q1378" s="380">
        <f t="shared" si="205"/>
        <v>100</v>
      </c>
    </row>
    <row r="1379" spans="2:17" ht="24" x14ac:dyDescent="0.2">
      <c r="B1379" s="18">
        <f t="shared" si="206"/>
        <v>17</v>
      </c>
      <c r="C1379" s="100"/>
      <c r="D1379" s="100"/>
      <c r="E1379" s="100"/>
      <c r="F1379" s="268"/>
      <c r="G1379" s="268"/>
      <c r="H1379" s="102" t="s">
        <v>581</v>
      </c>
      <c r="I1379" s="104">
        <v>500</v>
      </c>
      <c r="J1379" s="104">
        <v>500</v>
      </c>
      <c r="K1379" s="380">
        <f t="shared" si="202"/>
        <v>100</v>
      </c>
      <c r="L1379" s="269"/>
      <c r="M1379" s="269"/>
      <c r="N1379" s="380"/>
      <c r="O1379" s="105">
        <f t="shared" si="203"/>
        <v>500</v>
      </c>
      <c r="P1379" s="105">
        <f t="shared" si="204"/>
        <v>500</v>
      </c>
      <c r="Q1379" s="380">
        <f t="shared" si="205"/>
        <v>100</v>
      </c>
    </row>
    <row r="1380" spans="2:17" ht="24" x14ac:dyDescent="0.2">
      <c r="B1380" s="18">
        <f t="shared" si="206"/>
        <v>18</v>
      </c>
      <c r="C1380" s="100"/>
      <c r="D1380" s="100"/>
      <c r="E1380" s="100"/>
      <c r="F1380" s="268"/>
      <c r="G1380" s="268"/>
      <c r="H1380" s="102" t="s">
        <v>596</v>
      </c>
      <c r="I1380" s="104">
        <f>5000+5000</f>
        <v>10000</v>
      </c>
      <c r="J1380" s="104">
        <v>10000</v>
      </c>
      <c r="K1380" s="380">
        <f t="shared" si="202"/>
        <v>100</v>
      </c>
      <c r="L1380" s="269"/>
      <c r="M1380" s="269"/>
      <c r="N1380" s="380"/>
      <c r="O1380" s="105">
        <f t="shared" si="203"/>
        <v>10000</v>
      </c>
      <c r="P1380" s="105">
        <f t="shared" si="204"/>
        <v>10000</v>
      </c>
      <c r="Q1380" s="380">
        <f t="shared" si="205"/>
        <v>100</v>
      </c>
    </row>
    <row r="1381" spans="2:17" x14ac:dyDescent="0.2">
      <c r="B1381" s="18">
        <f t="shared" si="206"/>
        <v>19</v>
      </c>
      <c r="C1381" s="100"/>
      <c r="D1381" s="100"/>
      <c r="E1381" s="100"/>
      <c r="F1381" s="268"/>
      <c r="G1381" s="268"/>
      <c r="H1381" s="381" t="s">
        <v>359</v>
      </c>
      <c r="I1381" s="103">
        <v>10000</v>
      </c>
      <c r="J1381" s="103">
        <v>10000</v>
      </c>
      <c r="K1381" s="380">
        <f t="shared" si="202"/>
        <v>100</v>
      </c>
      <c r="L1381" s="269"/>
      <c r="M1381" s="269"/>
      <c r="N1381" s="380"/>
      <c r="O1381" s="105">
        <f t="shared" si="203"/>
        <v>10000</v>
      </c>
      <c r="P1381" s="105">
        <f t="shared" si="204"/>
        <v>10000</v>
      </c>
      <c r="Q1381" s="380">
        <f t="shared" si="205"/>
        <v>100</v>
      </c>
    </row>
    <row r="1382" spans="2:17" ht="24" x14ac:dyDescent="0.2">
      <c r="B1382" s="18">
        <f t="shared" si="206"/>
        <v>20</v>
      </c>
      <c r="C1382" s="100"/>
      <c r="D1382" s="100"/>
      <c r="E1382" s="100"/>
      <c r="F1382" s="268"/>
      <c r="G1382" s="268"/>
      <c r="H1382" s="102" t="s">
        <v>668</v>
      </c>
      <c r="I1382" s="103">
        <v>600</v>
      </c>
      <c r="J1382" s="103">
        <v>600</v>
      </c>
      <c r="K1382" s="380">
        <f t="shared" si="202"/>
        <v>100</v>
      </c>
      <c r="L1382" s="269"/>
      <c r="M1382" s="269"/>
      <c r="N1382" s="380"/>
      <c r="O1382" s="105">
        <f t="shared" si="203"/>
        <v>600</v>
      </c>
      <c r="P1382" s="105">
        <f t="shared" si="204"/>
        <v>600</v>
      </c>
      <c r="Q1382" s="380">
        <f t="shared" si="205"/>
        <v>100</v>
      </c>
    </row>
    <row r="1383" spans="2:17" ht="24" x14ac:dyDescent="0.2">
      <c r="B1383" s="18">
        <f t="shared" si="206"/>
        <v>21</v>
      </c>
      <c r="C1383" s="100"/>
      <c r="D1383" s="100"/>
      <c r="E1383" s="100"/>
      <c r="F1383" s="268"/>
      <c r="G1383" s="268"/>
      <c r="H1383" s="102" t="s">
        <v>271</v>
      </c>
      <c r="I1383" s="103">
        <v>10000</v>
      </c>
      <c r="J1383" s="103">
        <v>10000</v>
      </c>
      <c r="K1383" s="380">
        <f t="shared" si="202"/>
        <v>100</v>
      </c>
      <c r="L1383" s="269"/>
      <c r="M1383" s="269"/>
      <c r="N1383" s="380"/>
      <c r="O1383" s="105">
        <f t="shared" si="203"/>
        <v>10000</v>
      </c>
      <c r="P1383" s="105">
        <f t="shared" si="204"/>
        <v>10000</v>
      </c>
      <c r="Q1383" s="380">
        <f t="shared" si="205"/>
        <v>100</v>
      </c>
    </row>
    <row r="1384" spans="2:17" ht="15" x14ac:dyDescent="0.2">
      <c r="B1384" s="18">
        <f t="shared" si="206"/>
        <v>22</v>
      </c>
      <c r="C1384" s="82">
        <v>3</v>
      </c>
      <c r="D1384" s="495" t="s">
        <v>198</v>
      </c>
      <c r="E1384" s="496"/>
      <c r="F1384" s="496"/>
      <c r="G1384" s="496"/>
      <c r="H1384" s="496"/>
      <c r="I1384" s="83">
        <f>I1385+I1396+I1408+I1433+I1449</f>
        <v>2719015</v>
      </c>
      <c r="J1384" s="83">
        <f>J1385+J1396+J1408+J1433+J1449</f>
        <v>2358699</v>
      </c>
      <c r="K1384" s="361">
        <f t="shared" si="202"/>
        <v>86.748289362140326</v>
      </c>
      <c r="L1384" s="83">
        <f>L1449+L1433+L1408+L1396+L1385</f>
        <v>13297859</v>
      </c>
      <c r="M1384" s="83">
        <f>M1449+M1433+M1408+M1396+M1385</f>
        <v>730213</v>
      </c>
      <c r="N1384" s="361">
        <f>M1384/L1384*100</f>
        <v>5.4912072687791325</v>
      </c>
      <c r="O1384" s="99">
        <f t="shared" si="203"/>
        <v>16016874</v>
      </c>
      <c r="P1384" s="99">
        <f t="shared" si="204"/>
        <v>3088912</v>
      </c>
      <c r="Q1384" s="361">
        <f t="shared" si="205"/>
        <v>19.285361175969793</v>
      </c>
    </row>
    <row r="1385" spans="2:17" ht="15" x14ac:dyDescent="0.25">
      <c r="B1385" s="18">
        <f t="shared" si="206"/>
        <v>23</v>
      </c>
      <c r="C1385" s="96"/>
      <c r="D1385" s="96">
        <v>1</v>
      </c>
      <c r="E1385" s="497" t="s">
        <v>197</v>
      </c>
      <c r="F1385" s="498"/>
      <c r="G1385" s="498"/>
      <c r="H1385" s="498"/>
      <c r="I1385" s="97">
        <f>I1386</f>
        <v>252480</v>
      </c>
      <c r="J1385" s="97">
        <f>J1386</f>
        <v>251806</v>
      </c>
      <c r="K1385" s="361">
        <f t="shared" si="202"/>
        <v>99.733048162230673</v>
      </c>
      <c r="L1385" s="97">
        <f>L1389</f>
        <v>1319612</v>
      </c>
      <c r="M1385" s="97">
        <f>M1389</f>
        <v>139287</v>
      </c>
      <c r="N1385" s="361">
        <f>M1385/L1385*100</f>
        <v>10.55514802835985</v>
      </c>
      <c r="O1385" s="98">
        <f t="shared" si="203"/>
        <v>1572092</v>
      </c>
      <c r="P1385" s="98">
        <f t="shared" si="204"/>
        <v>391093</v>
      </c>
      <c r="Q1385" s="361">
        <f t="shared" si="205"/>
        <v>24.877233647903559</v>
      </c>
    </row>
    <row r="1386" spans="2:17" x14ac:dyDescent="0.2">
      <c r="B1386" s="18">
        <f t="shared" si="206"/>
        <v>24</v>
      </c>
      <c r="C1386" s="3"/>
      <c r="D1386" s="3"/>
      <c r="E1386" s="3"/>
      <c r="F1386" s="90" t="s">
        <v>179</v>
      </c>
      <c r="G1386" s="2">
        <v>630</v>
      </c>
      <c r="H1386" s="3" t="s">
        <v>121</v>
      </c>
      <c r="I1386" s="4">
        <f>SUM(I1387:I1388)</f>
        <v>252480</v>
      </c>
      <c r="J1386" s="4">
        <f>SUM(J1387:J1388)</f>
        <v>251806</v>
      </c>
      <c r="K1386" s="361">
        <f t="shared" si="202"/>
        <v>99.733048162230673</v>
      </c>
      <c r="L1386" s="4"/>
      <c r="M1386" s="4"/>
      <c r="N1386" s="361"/>
      <c r="O1386" s="92">
        <f t="shared" si="203"/>
        <v>252480</v>
      </c>
      <c r="P1386" s="92">
        <f t="shared" si="204"/>
        <v>251806</v>
      </c>
      <c r="Q1386" s="361">
        <f t="shared" si="205"/>
        <v>99.733048162230673</v>
      </c>
    </row>
    <row r="1387" spans="2:17" x14ac:dyDescent="0.2">
      <c r="B1387" s="18">
        <f t="shared" si="206"/>
        <v>25</v>
      </c>
      <c r="C1387" s="6"/>
      <c r="D1387" s="6"/>
      <c r="E1387" s="6"/>
      <c r="F1387" s="93"/>
      <c r="G1387" s="5">
        <v>636</v>
      </c>
      <c r="H1387" s="6" t="s">
        <v>126</v>
      </c>
      <c r="I1387" s="7">
        <v>250000</v>
      </c>
      <c r="J1387" s="7">
        <v>250000</v>
      </c>
      <c r="K1387" s="361">
        <f t="shared" si="202"/>
        <v>100</v>
      </c>
      <c r="L1387" s="7"/>
      <c r="M1387" s="7"/>
      <c r="N1387" s="361"/>
      <c r="O1387" s="95">
        <f t="shared" si="203"/>
        <v>250000</v>
      </c>
      <c r="P1387" s="95">
        <f t="shared" si="204"/>
        <v>250000</v>
      </c>
      <c r="Q1387" s="361">
        <f t="shared" si="205"/>
        <v>100</v>
      </c>
    </row>
    <row r="1388" spans="2:17" x14ac:dyDescent="0.2">
      <c r="B1388" s="18">
        <f t="shared" si="206"/>
        <v>26</v>
      </c>
      <c r="C1388" s="6"/>
      <c r="D1388" s="6"/>
      <c r="E1388" s="6"/>
      <c r="F1388" s="93"/>
      <c r="G1388" s="5">
        <v>637</v>
      </c>
      <c r="H1388" s="6" t="s">
        <v>122</v>
      </c>
      <c r="I1388" s="7">
        <v>2480</v>
      </c>
      <c r="J1388" s="7">
        <v>1806</v>
      </c>
      <c r="K1388" s="361">
        <f t="shared" si="202"/>
        <v>72.822580645161295</v>
      </c>
      <c r="L1388" s="7"/>
      <c r="M1388" s="7"/>
      <c r="N1388" s="361"/>
      <c r="O1388" s="95">
        <f t="shared" si="203"/>
        <v>2480</v>
      </c>
      <c r="P1388" s="95">
        <f t="shared" si="204"/>
        <v>1806</v>
      </c>
      <c r="Q1388" s="361">
        <f t="shared" si="205"/>
        <v>72.822580645161295</v>
      </c>
    </row>
    <row r="1389" spans="2:17" x14ac:dyDescent="0.2">
      <c r="B1389" s="18">
        <f t="shared" si="206"/>
        <v>27</v>
      </c>
      <c r="C1389" s="6"/>
      <c r="D1389" s="6"/>
      <c r="E1389" s="6"/>
      <c r="F1389" s="90" t="s">
        <v>179</v>
      </c>
      <c r="G1389" s="2">
        <v>710</v>
      </c>
      <c r="H1389" s="3" t="s">
        <v>175</v>
      </c>
      <c r="I1389" s="7"/>
      <c r="J1389" s="7"/>
      <c r="K1389" s="361"/>
      <c r="L1389" s="4">
        <f>L1392+L1390</f>
        <v>1319612</v>
      </c>
      <c r="M1389" s="4">
        <f>M1392+M1390</f>
        <v>139287</v>
      </c>
      <c r="N1389" s="361">
        <f t="shared" ref="N1389:N1396" si="207">M1389/L1389*100</f>
        <v>10.55514802835985</v>
      </c>
      <c r="O1389" s="92">
        <f t="shared" si="203"/>
        <v>1319612</v>
      </c>
      <c r="P1389" s="92">
        <f t="shared" si="204"/>
        <v>139287</v>
      </c>
      <c r="Q1389" s="361">
        <f t="shared" si="205"/>
        <v>10.55514802835985</v>
      </c>
    </row>
    <row r="1390" spans="2:17" x14ac:dyDescent="0.2">
      <c r="B1390" s="18">
        <f t="shared" si="206"/>
        <v>28</v>
      </c>
      <c r="C1390" s="6"/>
      <c r="D1390" s="6"/>
      <c r="E1390" s="6"/>
      <c r="F1390" s="90"/>
      <c r="G1390" s="5">
        <v>713</v>
      </c>
      <c r="H1390" s="6" t="s">
        <v>218</v>
      </c>
      <c r="I1390" s="7"/>
      <c r="J1390" s="7"/>
      <c r="K1390" s="361"/>
      <c r="L1390" s="7">
        <f>L1391</f>
        <v>5600</v>
      </c>
      <c r="M1390" s="7">
        <f>M1391</f>
        <v>4635</v>
      </c>
      <c r="N1390" s="361">
        <f t="shared" si="207"/>
        <v>82.767857142857139</v>
      </c>
      <c r="O1390" s="95">
        <f t="shared" si="203"/>
        <v>5600</v>
      </c>
      <c r="P1390" s="95">
        <f t="shared" si="204"/>
        <v>4635</v>
      </c>
      <c r="Q1390" s="361">
        <f t="shared" si="205"/>
        <v>82.767857142857139</v>
      </c>
    </row>
    <row r="1391" spans="2:17" x14ac:dyDescent="0.2">
      <c r="B1391" s="18">
        <f t="shared" si="206"/>
        <v>29</v>
      </c>
      <c r="C1391" s="6"/>
      <c r="D1391" s="6"/>
      <c r="E1391" s="6"/>
      <c r="F1391" s="90"/>
      <c r="G1391" s="268"/>
      <c r="H1391" s="102" t="s">
        <v>704</v>
      </c>
      <c r="I1391" s="103"/>
      <c r="J1391" s="103"/>
      <c r="K1391" s="361"/>
      <c r="L1391" s="103">
        <v>5600</v>
      </c>
      <c r="M1391" s="103">
        <v>4635</v>
      </c>
      <c r="N1391" s="361">
        <f t="shared" si="207"/>
        <v>82.767857142857139</v>
      </c>
      <c r="O1391" s="105">
        <f t="shared" si="203"/>
        <v>5600</v>
      </c>
      <c r="P1391" s="105">
        <f t="shared" si="204"/>
        <v>4635</v>
      </c>
      <c r="Q1391" s="361">
        <f t="shared" si="205"/>
        <v>82.767857142857139</v>
      </c>
    </row>
    <row r="1392" spans="2:17" x14ac:dyDescent="0.2">
      <c r="B1392" s="18">
        <f t="shared" si="206"/>
        <v>30</v>
      </c>
      <c r="C1392" s="6"/>
      <c r="D1392" s="6"/>
      <c r="E1392" s="6"/>
      <c r="F1392" s="93"/>
      <c r="G1392" s="5">
        <v>717</v>
      </c>
      <c r="H1392" s="6" t="s">
        <v>182</v>
      </c>
      <c r="I1392" s="7"/>
      <c r="J1392" s="7"/>
      <c r="K1392" s="361"/>
      <c r="L1392" s="7">
        <f>L1393+L1394+L1395</f>
        <v>1314012</v>
      </c>
      <c r="M1392" s="7">
        <f>M1393+M1394+M1395</f>
        <v>134652</v>
      </c>
      <c r="N1392" s="361">
        <f t="shared" si="207"/>
        <v>10.247395000958894</v>
      </c>
      <c r="O1392" s="95">
        <f t="shared" si="203"/>
        <v>1314012</v>
      </c>
      <c r="P1392" s="95">
        <f t="shared" si="204"/>
        <v>134652</v>
      </c>
      <c r="Q1392" s="361">
        <f t="shared" si="205"/>
        <v>10.247395000958894</v>
      </c>
    </row>
    <row r="1393" spans="2:17" x14ac:dyDescent="0.2">
      <c r="B1393" s="18">
        <f t="shared" si="206"/>
        <v>31</v>
      </c>
      <c r="C1393" s="6"/>
      <c r="D1393" s="6"/>
      <c r="E1393" s="6"/>
      <c r="F1393" s="194"/>
      <c r="G1393" s="106"/>
      <c r="H1393" s="9" t="s">
        <v>511</v>
      </c>
      <c r="I1393" s="7"/>
      <c r="J1393" s="7"/>
      <c r="K1393" s="361"/>
      <c r="L1393" s="10">
        <v>35000</v>
      </c>
      <c r="M1393" s="10">
        <v>33588</v>
      </c>
      <c r="N1393" s="361">
        <f t="shared" si="207"/>
        <v>95.965714285714284</v>
      </c>
      <c r="O1393" s="108">
        <f t="shared" si="203"/>
        <v>35000</v>
      </c>
      <c r="P1393" s="108">
        <f t="shared" si="204"/>
        <v>33588</v>
      </c>
      <c r="Q1393" s="361">
        <f t="shared" si="205"/>
        <v>95.965714285714284</v>
      </c>
    </row>
    <row r="1394" spans="2:17" x14ac:dyDescent="0.2">
      <c r="B1394" s="18">
        <f t="shared" si="206"/>
        <v>32</v>
      </c>
      <c r="C1394" s="6"/>
      <c r="D1394" s="6"/>
      <c r="E1394" s="6"/>
      <c r="F1394" s="194"/>
      <c r="G1394" s="106"/>
      <c r="H1394" s="9" t="s">
        <v>560</v>
      </c>
      <c r="I1394" s="7"/>
      <c r="J1394" s="7"/>
      <c r="K1394" s="361"/>
      <c r="L1394" s="10">
        <f>1208630+25382</f>
        <v>1234012</v>
      </c>
      <c r="M1394" s="10">
        <v>56192</v>
      </c>
      <c r="N1394" s="361">
        <f t="shared" si="207"/>
        <v>4.5536023960869105</v>
      </c>
      <c r="O1394" s="108">
        <f t="shared" si="203"/>
        <v>1234012</v>
      </c>
      <c r="P1394" s="108">
        <f t="shared" si="204"/>
        <v>56192</v>
      </c>
      <c r="Q1394" s="361">
        <f t="shared" si="205"/>
        <v>4.5536023960869105</v>
      </c>
    </row>
    <row r="1395" spans="2:17" x14ac:dyDescent="0.2">
      <c r="B1395" s="18">
        <f t="shared" si="206"/>
        <v>33</v>
      </c>
      <c r="C1395" s="6"/>
      <c r="D1395" s="6"/>
      <c r="E1395" s="6"/>
      <c r="F1395" s="194"/>
      <c r="G1395" s="106"/>
      <c r="H1395" s="9" t="s">
        <v>724</v>
      </c>
      <c r="I1395" s="7"/>
      <c r="J1395" s="7"/>
      <c r="K1395" s="361"/>
      <c r="L1395" s="10">
        <f>34000+11000</f>
        <v>45000</v>
      </c>
      <c r="M1395" s="10">
        <v>44872</v>
      </c>
      <c r="N1395" s="361">
        <f t="shared" si="207"/>
        <v>99.715555555555554</v>
      </c>
      <c r="O1395" s="108">
        <f t="shared" ref="O1395:O1426" si="208">I1395+L1395</f>
        <v>45000</v>
      </c>
      <c r="P1395" s="108">
        <f t="shared" ref="P1395:P1426" si="209">J1395+M1395</f>
        <v>44872</v>
      </c>
      <c r="Q1395" s="361">
        <f t="shared" ref="Q1395:Q1426" si="210">P1395/O1395*100</f>
        <v>99.715555555555554</v>
      </c>
    </row>
    <row r="1396" spans="2:17" ht="15" x14ac:dyDescent="0.25">
      <c r="B1396" s="18">
        <f t="shared" ref="B1396:B1427" si="211">B1395+1</f>
        <v>34</v>
      </c>
      <c r="C1396" s="96"/>
      <c r="D1396" s="96">
        <v>2</v>
      </c>
      <c r="E1396" s="497" t="s">
        <v>199</v>
      </c>
      <c r="F1396" s="498"/>
      <c r="G1396" s="498"/>
      <c r="H1396" s="498"/>
      <c r="I1396" s="97">
        <f>I1397</f>
        <v>540850</v>
      </c>
      <c r="J1396" s="97">
        <f>J1397</f>
        <v>524270</v>
      </c>
      <c r="K1396" s="361">
        <f t="shared" ref="K1396:K1401" si="212">J1396/I1396*100</f>
        <v>96.934455024498476</v>
      </c>
      <c r="L1396" s="97">
        <f>L1402</f>
        <v>37100</v>
      </c>
      <c r="M1396" s="97">
        <f>M1402</f>
        <v>21947</v>
      </c>
      <c r="N1396" s="361">
        <f t="shared" si="207"/>
        <v>59.156334231805928</v>
      </c>
      <c r="O1396" s="98">
        <f t="shared" si="208"/>
        <v>577950</v>
      </c>
      <c r="P1396" s="98">
        <f t="shared" si="209"/>
        <v>546217</v>
      </c>
      <c r="Q1396" s="361">
        <f t="shared" si="210"/>
        <v>94.509386625140579</v>
      </c>
    </row>
    <row r="1397" spans="2:17" x14ac:dyDescent="0.2">
      <c r="B1397" s="18">
        <f t="shared" si="211"/>
        <v>35</v>
      </c>
      <c r="C1397" s="3"/>
      <c r="D1397" s="3"/>
      <c r="E1397" s="3"/>
      <c r="F1397" s="90" t="s">
        <v>179</v>
      </c>
      <c r="G1397" s="2">
        <v>630</v>
      </c>
      <c r="H1397" s="3" t="s">
        <v>121</v>
      </c>
      <c r="I1397" s="4">
        <f>SUM(I1398:I1401)</f>
        <v>540850</v>
      </c>
      <c r="J1397" s="4">
        <f>SUM(J1398:J1401)</f>
        <v>524270</v>
      </c>
      <c r="K1397" s="361">
        <f t="shared" si="212"/>
        <v>96.934455024498476</v>
      </c>
      <c r="L1397" s="4"/>
      <c r="M1397" s="4"/>
      <c r="N1397" s="361"/>
      <c r="O1397" s="92">
        <f t="shared" si="208"/>
        <v>540850</v>
      </c>
      <c r="P1397" s="92">
        <f t="shared" si="209"/>
        <v>524270</v>
      </c>
      <c r="Q1397" s="361">
        <f t="shared" si="210"/>
        <v>96.934455024498476</v>
      </c>
    </row>
    <row r="1398" spans="2:17" x14ac:dyDescent="0.2">
      <c r="B1398" s="18">
        <f t="shared" si="211"/>
        <v>36</v>
      </c>
      <c r="C1398" s="6"/>
      <c r="D1398" s="6"/>
      <c r="E1398" s="6"/>
      <c r="F1398" s="93"/>
      <c r="G1398" s="5">
        <v>632</v>
      </c>
      <c r="H1398" s="6" t="s">
        <v>134</v>
      </c>
      <c r="I1398" s="7">
        <v>27200</v>
      </c>
      <c r="J1398" s="7">
        <v>10818</v>
      </c>
      <c r="K1398" s="361">
        <f t="shared" si="212"/>
        <v>39.772058823529413</v>
      </c>
      <c r="L1398" s="7"/>
      <c r="M1398" s="7"/>
      <c r="N1398" s="361"/>
      <c r="O1398" s="95">
        <f t="shared" si="208"/>
        <v>27200</v>
      </c>
      <c r="P1398" s="95">
        <f t="shared" si="209"/>
        <v>10818</v>
      </c>
      <c r="Q1398" s="361">
        <f t="shared" si="210"/>
        <v>39.772058823529413</v>
      </c>
    </row>
    <row r="1399" spans="2:17" ht="24" x14ac:dyDescent="0.2">
      <c r="B1399" s="18">
        <f t="shared" si="211"/>
        <v>37</v>
      </c>
      <c r="C1399" s="6"/>
      <c r="D1399" s="6"/>
      <c r="E1399" s="6"/>
      <c r="F1399" s="93"/>
      <c r="G1399" s="5">
        <v>633</v>
      </c>
      <c r="H1399" s="337" t="s">
        <v>637</v>
      </c>
      <c r="I1399" s="7">
        <f>12800-10</f>
        <v>12790</v>
      </c>
      <c r="J1399" s="7">
        <v>12790</v>
      </c>
      <c r="K1399" s="361">
        <f t="shared" si="212"/>
        <v>100</v>
      </c>
      <c r="L1399" s="7"/>
      <c r="M1399" s="7"/>
      <c r="N1399" s="361"/>
      <c r="O1399" s="95">
        <f t="shared" si="208"/>
        <v>12790</v>
      </c>
      <c r="P1399" s="95">
        <f t="shared" si="209"/>
        <v>12790</v>
      </c>
      <c r="Q1399" s="361">
        <f t="shared" si="210"/>
        <v>100</v>
      </c>
    </row>
    <row r="1400" spans="2:17" x14ac:dyDescent="0.2">
      <c r="B1400" s="18">
        <f t="shared" si="211"/>
        <v>38</v>
      </c>
      <c r="C1400" s="6"/>
      <c r="D1400" s="6"/>
      <c r="E1400" s="6"/>
      <c r="F1400" s="93"/>
      <c r="G1400" s="5">
        <v>636</v>
      </c>
      <c r="H1400" s="6" t="s">
        <v>126</v>
      </c>
      <c r="I1400" s="7">
        <v>500000</v>
      </c>
      <c r="J1400" s="7">
        <v>500000</v>
      </c>
      <c r="K1400" s="361">
        <f t="shared" si="212"/>
        <v>100</v>
      </c>
      <c r="L1400" s="7"/>
      <c r="M1400" s="7"/>
      <c r="N1400" s="361"/>
      <c r="O1400" s="95">
        <f t="shared" si="208"/>
        <v>500000</v>
      </c>
      <c r="P1400" s="95">
        <f t="shared" si="209"/>
        <v>500000</v>
      </c>
      <c r="Q1400" s="361">
        <f t="shared" si="210"/>
        <v>100</v>
      </c>
    </row>
    <row r="1401" spans="2:17" x14ac:dyDescent="0.2">
      <c r="B1401" s="18">
        <f t="shared" si="211"/>
        <v>39</v>
      </c>
      <c r="C1401" s="6"/>
      <c r="D1401" s="6"/>
      <c r="E1401" s="6"/>
      <c r="F1401" s="93"/>
      <c r="G1401" s="5">
        <v>637</v>
      </c>
      <c r="H1401" s="6" t="s">
        <v>122</v>
      </c>
      <c r="I1401" s="7">
        <f>850+10</f>
        <v>860</v>
      </c>
      <c r="J1401" s="7">
        <v>662</v>
      </c>
      <c r="K1401" s="361">
        <f t="shared" si="212"/>
        <v>76.976744186046503</v>
      </c>
      <c r="L1401" s="7"/>
      <c r="M1401" s="7"/>
      <c r="N1401" s="361"/>
      <c r="O1401" s="95">
        <f t="shared" si="208"/>
        <v>860</v>
      </c>
      <c r="P1401" s="95">
        <f t="shared" si="209"/>
        <v>662</v>
      </c>
      <c r="Q1401" s="361">
        <f t="shared" si="210"/>
        <v>76.976744186046503</v>
      </c>
    </row>
    <row r="1402" spans="2:17" x14ac:dyDescent="0.2">
      <c r="B1402" s="18">
        <f t="shared" si="211"/>
        <v>40</v>
      </c>
      <c r="C1402" s="6"/>
      <c r="D1402" s="6"/>
      <c r="E1402" s="6"/>
      <c r="F1402" s="90" t="s">
        <v>179</v>
      </c>
      <c r="G1402" s="2">
        <v>710</v>
      </c>
      <c r="H1402" s="3" t="s">
        <v>175</v>
      </c>
      <c r="I1402" s="7"/>
      <c r="J1402" s="7"/>
      <c r="K1402" s="361"/>
      <c r="L1402" s="4">
        <f>L1405+L1403</f>
        <v>37100</v>
      </c>
      <c r="M1402" s="4">
        <f>M1405+M1403</f>
        <v>21947</v>
      </c>
      <c r="N1402" s="361">
        <f t="shared" ref="N1402:N1408" si="213">M1402/L1402*100</f>
        <v>59.156334231805928</v>
      </c>
      <c r="O1402" s="92">
        <f t="shared" si="208"/>
        <v>37100</v>
      </c>
      <c r="P1402" s="92">
        <f t="shared" si="209"/>
        <v>21947</v>
      </c>
      <c r="Q1402" s="361">
        <f t="shared" si="210"/>
        <v>59.156334231805928</v>
      </c>
    </row>
    <row r="1403" spans="2:17" x14ac:dyDescent="0.2">
      <c r="B1403" s="18">
        <f t="shared" si="211"/>
        <v>41</v>
      </c>
      <c r="C1403" s="6"/>
      <c r="D1403" s="6"/>
      <c r="E1403" s="6"/>
      <c r="F1403" s="90"/>
      <c r="G1403" s="5">
        <v>713</v>
      </c>
      <c r="H1403" s="6" t="s">
        <v>218</v>
      </c>
      <c r="I1403" s="7"/>
      <c r="J1403" s="7"/>
      <c r="K1403" s="361"/>
      <c r="L1403" s="7">
        <f>L1404</f>
        <v>6000</v>
      </c>
      <c r="M1403" s="7">
        <f>M1404</f>
        <v>5822</v>
      </c>
      <c r="N1403" s="361">
        <f t="shared" si="213"/>
        <v>97.033333333333331</v>
      </c>
      <c r="O1403" s="95">
        <f t="shared" si="208"/>
        <v>6000</v>
      </c>
      <c r="P1403" s="95">
        <f t="shared" si="209"/>
        <v>5822</v>
      </c>
      <c r="Q1403" s="361">
        <f t="shared" si="210"/>
        <v>97.033333333333331</v>
      </c>
    </row>
    <row r="1404" spans="2:17" ht="24" x14ac:dyDescent="0.2">
      <c r="B1404" s="18">
        <f t="shared" si="211"/>
        <v>42</v>
      </c>
      <c r="C1404" s="6"/>
      <c r="D1404" s="6"/>
      <c r="E1404" s="6"/>
      <c r="F1404" s="90"/>
      <c r="G1404" s="268"/>
      <c r="H1404" s="102" t="s">
        <v>674</v>
      </c>
      <c r="I1404" s="103"/>
      <c r="J1404" s="103"/>
      <c r="K1404" s="361"/>
      <c r="L1404" s="103">
        <v>6000</v>
      </c>
      <c r="M1404" s="103">
        <v>5822</v>
      </c>
      <c r="N1404" s="361">
        <f t="shared" si="213"/>
        <v>97.033333333333331</v>
      </c>
      <c r="O1404" s="105">
        <f t="shared" si="208"/>
        <v>6000</v>
      </c>
      <c r="P1404" s="105">
        <f t="shared" si="209"/>
        <v>5822</v>
      </c>
      <c r="Q1404" s="361">
        <f t="shared" si="210"/>
        <v>97.033333333333331</v>
      </c>
    </row>
    <row r="1405" spans="2:17" x14ac:dyDescent="0.2">
      <c r="B1405" s="18">
        <f t="shared" si="211"/>
        <v>43</v>
      </c>
      <c r="C1405" s="6"/>
      <c r="D1405" s="6"/>
      <c r="E1405" s="6"/>
      <c r="F1405" s="93"/>
      <c r="G1405" s="5">
        <v>717</v>
      </c>
      <c r="H1405" s="6" t="s">
        <v>182</v>
      </c>
      <c r="I1405" s="7"/>
      <c r="J1405" s="7"/>
      <c r="K1405" s="361"/>
      <c r="L1405" s="7">
        <f>L1406+L1407</f>
        <v>31100</v>
      </c>
      <c r="M1405" s="7">
        <f>M1406+M1407</f>
        <v>16125</v>
      </c>
      <c r="N1405" s="361">
        <f t="shared" si="213"/>
        <v>51.848874598070736</v>
      </c>
      <c r="O1405" s="95">
        <f t="shared" si="208"/>
        <v>31100</v>
      </c>
      <c r="P1405" s="95">
        <f t="shared" si="209"/>
        <v>16125</v>
      </c>
      <c r="Q1405" s="361">
        <f t="shared" si="210"/>
        <v>51.848874598070736</v>
      </c>
    </row>
    <row r="1406" spans="2:17" ht="24" x14ac:dyDescent="0.2">
      <c r="B1406" s="18">
        <f t="shared" si="211"/>
        <v>44</v>
      </c>
      <c r="C1406" s="6"/>
      <c r="D1406" s="6"/>
      <c r="E1406" s="6"/>
      <c r="F1406" s="194"/>
      <c r="G1406" s="106"/>
      <c r="H1406" s="201" t="s">
        <v>638</v>
      </c>
      <c r="I1406" s="7"/>
      <c r="J1406" s="7"/>
      <c r="K1406" s="361"/>
      <c r="L1406" s="10">
        <f>12800+8400</f>
        <v>21200</v>
      </c>
      <c r="M1406" s="10">
        <v>6315</v>
      </c>
      <c r="N1406" s="361">
        <f t="shared" si="213"/>
        <v>29.787735849056602</v>
      </c>
      <c r="O1406" s="108">
        <f t="shared" si="208"/>
        <v>21200</v>
      </c>
      <c r="P1406" s="108">
        <f t="shared" si="209"/>
        <v>6315</v>
      </c>
      <c r="Q1406" s="361">
        <f t="shared" si="210"/>
        <v>29.787735849056602</v>
      </c>
    </row>
    <row r="1407" spans="2:17" ht="24" x14ac:dyDescent="0.2">
      <c r="B1407" s="18">
        <f t="shared" si="211"/>
        <v>45</v>
      </c>
      <c r="C1407" s="6"/>
      <c r="D1407" s="6"/>
      <c r="E1407" s="6"/>
      <c r="F1407" s="194"/>
      <c r="G1407" s="106"/>
      <c r="H1407" s="201" t="s">
        <v>726</v>
      </c>
      <c r="I1407" s="7"/>
      <c r="J1407" s="7"/>
      <c r="K1407" s="361"/>
      <c r="L1407" s="10">
        <v>9900</v>
      </c>
      <c r="M1407" s="10">
        <v>9810</v>
      </c>
      <c r="N1407" s="361">
        <f t="shared" si="213"/>
        <v>99.090909090909093</v>
      </c>
      <c r="O1407" s="108">
        <f t="shared" si="208"/>
        <v>9900</v>
      </c>
      <c r="P1407" s="108">
        <f t="shared" si="209"/>
        <v>9810</v>
      </c>
      <c r="Q1407" s="361">
        <f t="shared" si="210"/>
        <v>99.090909090909093</v>
      </c>
    </row>
    <row r="1408" spans="2:17" ht="15" x14ac:dyDescent="0.25">
      <c r="B1408" s="18">
        <f t="shared" si="211"/>
        <v>46</v>
      </c>
      <c r="C1408" s="96"/>
      <c r="D1408" s="96">
        <v>3</v>
      </c>
      <c r="E1408" s="497" t="s">
        <v>200</v>
      </c>
      <c r="F1408" s="498"/>
      <c r="G1408" s="498"/>
      <c r="H1408" s="498"/>
      <c r="I1408" s="97">
        <f>I1409+I1420+I1430</f>
        <v>940025</v>
      </c>
      <c r="J1408" s="97">
        <f>J1409+J1420+J1430</f>
        <v>725176</v>
      </c>
      <c r="K1408" s="361">
        <f>J1408/I1408*100</f>
        <v>77.144331267785432</v>
      </c>
      <c r="L1408" s="97">
        <f>L1412+L1420</f>
        <v>11431647</v>
      </c>
      <c r="M1408" s="97">
        <f>M1412+M1420</f>
        <v>60126</v>
      </c>
      <c r="N1408" s="361">
        <f t="shared" si="213"/>
        <v>0.52596095733186998</v>
      </c>
      <c r="O1408" s="98">
        <f t="shared" si="208"/>
        <v>12371672</v>
      </c>
      <c r="P1408" s="98">
        <f t="shared" si="209"/>
        <v>785302</v>
      </c>
      <c r="Q1408" s="361">
        <f t="shared" si="210"/>
        <v>6.3475817981595375</v>
      </c>
    </row>
    <row r="1409" spans="2:17" x14ac:dyDescent="0.2">
      <c r="B1409" s="18">
        <f t="shared" si="211"/>
        <v>47</v>
      </c>
      <c r="C1409" s="3"/>
      <c r="D1409" s="3"/>
      <c r="E1409" s="3"/>
      <c r="F1409" s="90" t="s">
        <v>179</v>
      </c>
      <c r="G1409" s="2">
        <v>630</v>
      </c>
      <c r="H1409" s="3" t="s">
        <v>121</v>
      </c>
      <c r="I1409" s="4">
        <f>SUM(I1410:I1411)</f>
        <v>21860</v>
      </c>
      <c r="J1409" s="4">
        <f>SUM(J1410:J1411)</f>
        <v>20478</v>
      </c>
      <c r="K1409" s="361">
        <f>J1409/I1409*100</f>
        <v>93.677950594693499</v>
      </c>
      <c r="L1409" s="4"/>
      <c r="M1409" s="4"/>
      <c r="N1409" s="361"/>
      <c r="O1409" s="92">
        <f t="shared" si="208"/>
        <v>21860</v>
      </c>
      <c r="P1409" s="92">
        <f t="shared" si="209"/>
        <v>20478</v>
      </c>
      <c r="Q1409" s="361">
        <f t="shared" si="210"/>
        <v>93.677950594693499</v>
      </c>
    </row>
    <row r="1410" spans="2:17" x14ac:dyDescent="0.2">
      <c r="B1410" s="18">
        <f t="shared" si="211"/>
        <v>48</v>
      </c>
      <c r="C1410" s="6"/>
      <c r="D1410" s="6"/>
      <c r="E1410" s="6"/>
      <c r="F1410" s="93"/>
      <c r="G1410" s="5">
        <v>636</v>
      </c>
      <c r="H1410" s="6" t="s">
        <v>126</v>
      </c>
      <c r="I1410" s="7">
        <v>14580</v>
      </c>
      <c r="J1410" s="7">
        <v>14580</v>
      </c>
      <c r="K1410" s="361">
        <f>J1410/I1410*100</f>
        <v>100</v>
      </c>
      <c r="L1410" s="7"/>
      <c r="M1410" s="7"/>
      <c r="N1410" s="361"/>
      <c r="O1410" s="95">
        <f t="shared" si="208"/>
        <v>14580</v>
      </c>
      <c r="P1410" s="95">
        <f t="shared" si="209"/>
        <v>14580</v>
      </c>
      <c r="Q1410" s="361">
        <f t="shared" si="210"/>
        <v>100</v>
      </c>
    </row>
    <row r="1411" spans="2:17" x14ac:dyDescent="0.2">
      <c r="B1411" s="18">
        <f t="shared" si="211"/>
        <v>49</v>
      </c>
      <c r="C1411" s="6"/>
      <c r="D1411" s="6"/>
      <c r="E1411" s="6"/>
      <c r="F1411" s="93"/>
      <c r="G1411" s="5">
        <v>637</v>
      </c>
      <c r="H1411" s="6" t="s">
        <v>122</v>
      </c>
      <c r="I1411" s="7">
        <v>7280</v>
      </c>
      <c r="J1411" s="7">
        <v>5898</v>
      </c>
      <c r="K1411" s="361">
        <f>J1411/I1411*100</f>
        <v>81.016483516483518</v>
      </c>
      <c r="L1411" s="7"/>
      <c r="M1411" s="7"/>
      <c r="N1411" s="361"/>
      <c r="O1411" s="95">
        <f t="shared" si="208"/>
        <v>7280</v>
      </c>
      <c r="P1411" s="95">
        <f t="shared" si="209"/>
        <v>5898</v>
      </c>
      <c r="Q1411" s="361">
        <f t="shared" si="210"/>
        <v>81.016483516483518</v>
      </c>
    </row>
    <row r="1412" spans="2:17" x14ac:dyDescent="0.2">
      <c r="B1412" s="18">
        <f t="shared" si="211"/>
        <v>50</v>
      </c>
      <c r="C1412" s="3"/>
      <c r="D1412" s="3"/>
      <c r="E1412" s="3"/>
      <c r="F1412" s="90" t="s">
        <v>179</v>
      </c>
      <c r="G1412" s="2">
        <v>710</v>
      </c>
      <c r="H1412" s="3" t="s">
        <v>175</v>
      </c>
      <c r="I1412" s="4"/>
      <c r="J1412" s="4"/>
      <c r="K1412" s="361"/>
      <c r="L1412" s="4">
        <f>L1417+L1415+L1413</f>
        <v>11431647</v>
      </c>
      <c r="M1412" s="4">
        <f>M1417+M1415+M1413</f>
        <v>60126</v>
      </c>
      <c r="N1412" s="361">
        <f t="shared" ref="N1412:N1419" si="214">M1412/L1412*100</f>
        <v>0.52596095733186998</v>
      </c>
      <c r="O1412" s="92">
        <f t="shared" si="208"/>
        <v>11431647</v>
      </c>
      <c r="P1412" s="92">
        <f t="shared" si="209"/>
        <v>60126</v>
      </c>
      <c r="Q1412" s="361">
        <f t="shared" si="210"/>
        <v>0.52596095733186998</v>
      </c>
    </row>
    <row r="1413" spans="2:17" x14ac:dyDescent="0.2">
      <c r="B1413" s="18">
        <f t="shared" si="211"/>
        <v>51</v>
      </c>
      <c r="C1413" s="3"/>
      <c r="D1413" s="3"/>
      <c r="E1413" s="3"/>
      <c r="F1413" s="90"/>
      <c r="G1413" s="5">
        <v>713</v>
      </c>
      <c r="H1413" s="6" t="s">
        <v>218</v>
      </c>
      <c r="I1413" s="7"/>
      <c r="J1413" s="7"/>
      <c r="K1413" s="361"/>
      <c r="L1413" s="7">
        <f>L1414</f>
        <v>2</v>
      </c>
      <c r="M1413" s="7">
        <f>M1414</f>
        <v>1</v>
      </c>
      <c r="N1413" s="361">
        <f t="shared" si="214"/>
        <v>50</v>
      </c>
      <c r="O1413" s="95">
        <f t="shared" si="208"/>
        <v>2</v>
      </c>
      <c r="P1413" s="95">
        <f t="shared" si="209"/>
        <v>1</v>
      </c>
      <c r="Q1413" s="361">
        <f t="shared" si="210"/>
        <v>50</v>
      </c>
    </row>
    <row r="1414" spans="2:17" x14ac:dyDescent="0.2">
      <c r="B1414" s="18">
        <f t="shared" si="211"/>
        <v>52</v>
      </c>
      <c r="C1414" s="3"/>
      <c r="D1414" s="3"/>
      <c r="E1414" s="3"/>
      <c r="F1414" s="90"/>
      <c r="G1414" s="268"/>
      <c r="H1414" s="102" t="s">
        <v>680</v>
      </c>
      <c r="I1414" s="103"/>
      <c r="J1414" s="103"/>
      <c r="K1414" s="361"/>
      <c r="L1414" s="103">
        <v>2</v>
      </c>
      <c r="M1414" s="103">
        <v>1</v>
      </c>
      <c r="N1414" s="361">
        <f t="shared" si="214"/>
        <v>50</v>
      </c>
      <c r="O1414" s="105">
        <f t="shared" si="208"/>
        <v>2</v>
      </c>
      <c r="P1414" s="105">
        <f t="shared" si="209"/>
        <v>1</v>
      </c>
      <c r="Q1414" s="361">
        <f t="shared" si="210"/>
        <v>50</v>
      </c>
    </row>
    <row r="1415" spans="2:17" x14ac:dyDescent="0.2">
      <c r="B1415" s="18">
        <f t="shared" si="211"/>
        <v>53</v>
      </c>
      <c r="C1415" s="3"/>
      <c r="D1415" s="3"/>
      <c r="E1415" s="3"/>
      <c r="F1415" s="90"/>
      <c r="G1415" s="5">
        <v>716</v>
      </c>
      <c r="H1415" s="6" t="s">
        <v>215</v>
      </c>
      <c r="I1415" s="7"/>
      <c r="J1415" s="7"/>
      <c r="K1415" s="361"/>
      <c r="L1415" s="10">
        <f>L1416</f>
        <v>15000</v>
      </c>
      <c r="M1415" s="10">
        <f>M1416</f>
        <v>15000</v>
      </c>
      <c r="N1415" s="361">
        <f t="shared" si="214"/>
        <v>100</v>
      </c>
      <c r="O1415" s="108">
        <f t="shared" si="208"/>
        <v>15000</v>
      </c>
      <c r="P1415" s="108">
        <f t="shared" si="209"/>
        <v>15000</v>
      </c>
      <c r="Q1415" s="361">
        <f t="shared" si="210"/>
        <v>100</v>
      </c>
    </row>
    <row r="1416" spans="2:17" x14ac:dyDescent="0.2">
      <c r="B1416" s="18">
        <f t="shared" si="211"/>
        <v>54</v>
      </c>
      <c r="C1416" s="3"/>
      <c r="D1416" s="3"/>
      <c r="E1416" s="3"/>
      <c r="F1416" s="90"/>
      <c r="G1416" s="5"/>
      <c r="H1416" s="9" t="s">
        <v>583</v>
      </c>
      <c r="I1416" s="7"/>
      <c r="J1416" s="7"/>
      <c r="K1416" s="361"/>
      <c r="L1416" s="10">
        <v>15000</v>
      </c>
      <c r="M1416" s="10">
        <v>15000</v>
      </c>
      <c r="N1416" s="361">
        <f t="shared" si="214"/>
        <v>100</v>
      </c>
      <c r="O1416" s="108">
        <f t="shared" si="208"/>
        <v>15000</v>
      </c>
      <c r="P1416" s="108">
        <f t="shared" si="209"/>
        <v>15000</v>
      </c>
      <c r="Q1416" s="361">
        <f t="shared" si="210"/>
        <v>100</v>
      </c>
    </row>
    <row r="1417" spans="2:17" x14ac:dyDescent="0.2">
      <c r="B1417" s="18">
        <f t="shared" si="211"/>
        <v>55</v>
      </c>
      <c r="C1417" s="6"/>
      <c r="D1417" s="6"/>
      <c r="E1417" s="6"/>
      <c r="F1417" s="93"/>
      <c r="G1417" s="5">
        <v>717</v>
      </c>
      <c r="H1417" s="6" t="s">
        <v>182</v>
      </c>
      <c r="I1417" s="7"/>
      <c r="J1417" s="7"/>
      <c r="K1417" s="361"/>
      <c r="L1417" s="7">
        <f>SUM(L1418:L1419)</f>
        <v>11416645</v>
      </c>
      <c r="M1417" s="7">
        <f>SUM(M1418:M1419)</f>
        <v>45125</v>
      </c>
      <c r="N1417" s="361">
        <f t="shared" si="214"/>
        <v>0.39525622457385678</v>
      </c>
      <c r="O1417" s="95">
        <f t="shared" si="208"/>
        <v>11416645</v>
      </c>
      <c r="P1417" s="95">
        <f t="shared" si="209"/>
        <v>45125</v>
      </c>
      <c r="Q1417" s="361">
        <f t="shared" si="210"/>
        <v>0.39525622457385678</v>
      </c>
    </row>
    <row r="1418" spans="2:17" x14ac:dyDescent="0.2">
      <c r="B1418" s="18">
        <f t="shared" si="211"/>
        <v>56</v>
      </c>
      <c r="C1418" s="67"/>
      <c r="D1418" s="67"/>
      <c r="E1418" s="67"/>
      <c r="F1418" s="8"/>
      <c r="G1418" s="8"/>
      <c r="H1418" s="9" t="s">
        <v>439</v>
      </c>
      <c r="I1418" s="10"/>
      <c r="J1418" s="10"/>
      <c r="K1418" s="361"/>
      <c r="L1418" s="10">
        <v>215900</v>
      </c>
      <c r="M1418" s="10">
        <v>276</v>
      </c>
      <c r="N1418" s="361">
        <f t="shared" si="214"/>
        <v>0.12783696155627605</v>
      </c>
      <c r="O1418" s="108">
        <f t="shared" si="208"/>
        <v>215900</v>
      </c>
      <c r="P1418" s="108">
        <f t="shared" si="209"/>
        <v>276</v>
      </c>
      <c r="Q1418" s="361">
        <f t="shared" si="210"/>
        <v>0.12783696155627605</v>
      </c>
    </row>
    <row r="1419" spans="2:17" x14ac:dyDescent="0.2">
      <c r="B1419" s="18">
        <f t="shared" si="211"/>
        <v>57</v>
      </c>
      <c r="C1419" s="67"/>
      <c r="D1419" s="67"/>
      <c r="E1419" s="67"/>
      <c r="F1419" s="8"/>
      <c r="G1419" s="8"/>
      <c r="H1419" s="9" t="s">
        <v>270</v>
      </c>
      <c r="I1419" s="10"/>
      <c r="J1419" s="10"/>
      <c r="K1419" s="361"/>
      <c r="L1419" s="10">
        <v>11200745</v>
      </c>
      <c r="M1419" s="10">
        <v>44849</v>
      </c>
      <c r="N1419" s="361">
        <f t="shared" si="214"/>
        <v>0.40041086552724842</v>
      </c>
      <c r="O1419" s="108">
        <f t="shared" si="208"/>
        <v>11200745</v>
      </c>
      <c r="P1419" s="108">
        <f t="shared" si="209"/>
        <v>44849</v>
      </c>
      <c r="Q1419" s="361">
        <f t="shared" si="210"/>
        <v>0.40041086552724842</v>
      </c>
    </row>
    <row r="1420" spans="2:17" ht="15" x14ac:dyDescent="0.25">
      <c r="B1420" s="18">
        <f t="shared" si="211"/>
        <v>58</v>
      </c>
      <c r="C1420" s="176"/>
      <c r="D1420" s="176"/>
      <c r="E1420" s="176">
        <v>2</v>
      </c>
      <c r="F1420" s="177"/>
      <c r="G1420" s="177"/>
      <c r="H1420" s="176" t="s">
        <v>11</v>
      </c>
      <c r="I1420" s="178">
        <f>I1421+I1422+I1423+I1429</f>
        <v>808165</v>
      </c>
      <c r="J1420" s="178">
        <f>J1421+J1422+J1423+J1429</f>
        <v>628638</v>
      </c>
      <c r="K1420" s="361">
        <f t="shared" ref="K1420:K1433" si="215">J1420/I1420*100</f>
        <v>77.785848186942019</v>
      </c>
      <c r="L1420" s="178"/>
      <c r="M1420" s="178"/>
      <c r="N1420" s="361"/>
      <c r="O1420" s="179">
        <f t="shared" si="208"/>
        <v>808165</v>
      </c>
      <c r="P1420" s="179">
        <f t="shared" si="209"/>
        <v>628638</v>
      </c>
      <c r="Q1420" s="361">
        <f t="shared" si="210"/>
        <v>77.785848186942019</v>
      </c>
    </row>
    <row r="1421" spans="2:17" x14ac:dyDescent="0.2">
      <c r="B1421" s="18">
        <f t="shared" si="211"/>
        <v>59</v>
      </c>
      <c r="C1421" s="3"/>
      <c r="D1421" s="3"/>
      <c r="E1421" s="3"/>
      <c r="F1421" s="90" t="s">
        <v>179</v>
      </c>
      <c r="G1421" s="2">
        <v>610</v>
      </c>
      <c r="H1421" s="3" t="s">
        <v>131</v>
      </c>
      <c r="I1421" s="4">
        <v>102500</v>
      </c>
      <c r="J1421" s="4">
        <v>98307</v>
      </c>
      <c r="K1421" s="361">
        <f t="shared" si="215"/>
        <v>95.909268292682924</v>
      </c>
      <c r="L1421" s="4"/>
      <c r="M1421" s="4"/>
      <c r="N1421" s="361"/>
      <c r="O1421" s="92">
        <f t="shared" si="208"/>
        <v>102500</v>
      </c>
      <c r="P1421" s="92">
        <f t="shared" si="209"/>
        <v>98307</v>
      </c>
      <c r="Q1421" s="361">
        <f t="shared" si="210"/>
        <v>95.909268292682924</v>
      </c>
    </row>
    <row r="1422" spans="2:17" x14ac:dyDescent="0.2">
      <c r="B1422" s="18">
        <f t="shared" si="211"/>
        <v>60</v>
      </c>
      <c r="C1422" s="3"/>
      <c r="D1422" s="3"/>
      <c r="E1422" s="3"/>
      <c r="F1422" s="90" t="s">
        <v>179</v>
      </c>
      <c r="G1422" s="2">
        <v>620</v>
      </c>
      <c r="H1422" s="3" t="s">
        <v>124</v>
      </c>
      <c r="I1422" s="4">
        <v>39065</v>
      </c>
      <c r="J1422" s="4">
        <v>35311</v>
      </c>
      <c r="K1422" s="361">
        <f t="shared" si="215"/>
        <v>90.390375015998984</v>
      </c>
      <c r="L1422" s="4"/>
      <c r="M1422" s="4"/>
      <c r="N1422" s="361"/>
      <c r="O1422" s="92">
        <f t="shared" si="208"/>
        <v>39065</v>
      </c>
      <c r="P1422" s="92">
        <f t="shared" si="209"/>
        <v>35311</v>
      </c>
      <c r="Q1422" s="361">
        <f t="shared" si="210"/>
        <v>90.390375015998984</v>
      </c>
    </row>
    <row r="1423" spans="2:17" x14ac:dyDescent="0.2">
      <c r="B1423" s="18">
        <f t="shared" si="211"/>
        <v>61</v>
      </c>
      <c r="C1423" s="3"/>
      <c r="D1423" s="3"/>
      <c r="E1423" s="3"/>
      <c r="F1423" s="90" t="s">
        <v>179</v>
      </c>
      <c r="G1423" s="2">
        <v>630</v>
      </c>
      <c r="H1423" s="3" t="s">
        <v>121</v>
      </c>
      <c r="I1423" s="4">
        <f>I1428+I1427+I1426+I1425+I1424</f>
        <v>658600</v>
      </c>
      <c r="J1423" s="4">
        <f>J1428+J1427+J1426+J1425+J1424</f>
        <v>490154</v>
      </c>
      <c r="K1423" s="361">
        <f t="shared" si="215"/>
        <v>74.423625873064069</v>
      </c>
      <c r="L1423" s="4"/>
      <c r="M1423" s="4"/>
      <c r="N1423" s="361"/>
      <c r="O1423" s="92">
        <f t="shared" si="208"/>
        <v>658600</v>
      </c>
      <c r="P1423" s="92">
        <f t="shared" si="209"/>
        <v>490154</v>
      </c>
      <c r="Q1423" s="361">
        <f t="shared" si="210"/>
        <v>74.423625873064069</v>
      </c>
    </row>
    <row r="1424" spans="2:17" x14ac:dyDescent="0.2">
      <c r="B1424" s="18">
        <f t="shared" si="211"/>
        <v>62</v>
      </c>
      <c r="C1424" s="6"/>
      <c r="D1424" s="6"/>
      <c r="E1424" s="6"/>
      <c r="F1424" s="93"/>
      <c r="G1424" s="5">
        <v>632</v>
      </c>
      <c r="H1424" s="6" t="s">
        <v>134</v>
      </c>
      <c r="I1424" s="7">
        <f>530000-28000-9500-10000-5500</f>
        <v>477000</v>
      </c>
      <c r="J1424" s="7">
        <v>326178</v>
      </c>
      <c r="K1424" s="361">
        <f t="shared" si="215"/>
        <v>68.381132075471697</v>
      </c>
      <c r="L1424" s="7"/>
      <c r="M1424" s="7"/>
      <c r="N1424" s="361"/>
      <c r="O1424" s="95">
        <f t="shared" si="208"/>
        <v>477000</v>
      </c>
      <c r="P1424" s="95">
        <f t="shared" si="209"/>
        <v>326178</v>
      </c>
      <c r="Q1424" s="361">
        <f t="shared" si="210"/>
        <v>68.381132075471697</v>
      </c>
    </row>
    <row r="1425" spans="2:17" s="122" customFormat="1" x14ac:dyDescent="0.2">
      <c r="B1425" s="18">
        <f t="shared" si="211"/>
        <v>63</v>
      </c>
      <c r="C1425" s="6"/>
      <c r="D1425" s="6"/>
      <c r="E1425" s="6"/>
      <c r="F1425" s="93"/>
      <c r="G1425" s="5">
        <v>633</v>
      </c>
      <c r="H1425" s="6" t="s">
        <v>125</v>
      </c>
      <c r="I1425" s="7">
        <f>17000+2700+3000+3000</f>
        <v>25700</v>
      </c>
      <c r="J1425" s="7">
        <v>22598</v>
      </c>
      <c r="K1425" s="361">
        <f t="shared" si="215"/>
        <v>87.929961089494171</v>
      </c>
      <c r="L1425" s="7"/>
      <c r="M1425" s="7"/>
      <c r="N1425" s="361"/>
      <c r="O1425" s="95">
        <f t="shared" si="208"/>
        <v>25700</v>
      </c>
      <c r="P1425" s="95">
        <f t="shared" si="209"/>
        <v>22598</v>
      </c>
      <c r="Q1425" s="361">
        <f t="shared" si="210"/>
        <v>87.929961089494171</v>
      </c>
    </row>
    <row r="1426" spans="2:17" x14ac:dyDescent="0.2">
      <c r="B1426" s="18">
        <f t="shared" si="211"/>
        <v>64</v>
      </c>
      <c r="C1426" s="6"/>
      <c r="D1426" s="6"/>
      <c r="E1426" s="6"/>
      <c r="F1426" s="93"/>
      <c r="G1426" s="5">
        <v>635</v>
      </c>
      <c r="H1426" s="6" t="s">
        <v>133</v>
      </c>
      <c r="I1426" s="7">
        <f>50000+25000+11200+5000</f>
        <v>91200</v>
      </c>
      <c r="J1426" s="7">
        <v>86265</v>
      </c>
      <c r="K1426" s="361">
        <f t="shared" si="215"/>
        <v>94.588815789473685</v>
      </c>
      <c r="L1426" s="7"/>
      <c r="M1426" s="7"/>
      <c r="N1426" s="361"/>
      <c r="O1426" s="95">
        <f t="shared" si="208"/>
        <v>91200</v>
      </c>
      <c r="P1426" s="95">
        <f t="shared" si="209"/>
        <v>86265</v>
      </c>
      <c r="Q1426" s="361">
        <f t="shared" si="210"/>
        <v>94.588815789473685</v>
      </c>
    </row>
    <row r="1427" spans="2:17" x14ac:dyDescent="0.2">
      <c r="B1427" s="18">
        <f t="shared" si="211"/>
        <v>65</v>
      </c>
      <c r="C1427" s="6"/>
      <c r="D1427" s="6"/>
      <c r="E1427" s="6"/>
      <c r="F1427" s="93"/>
      <c r="G1427" s="5">
        <v>636</v>
      </c>
      <c r="H1427" s="6" t="s">
        <v>126</v>
      </c>
      <c r="I1427" s="7">
        <v>200</v>
      </c>
      <c r="J1427" s="7">
        <v>0</v>
      </c>
      <c r="K1427" s="361">
        <f t="shared" si="215"/>
        <v>0</v>
      </c>
      <c r="L1427" s="7"/>
      <c r="M1427" s="7"/>
      <c r="N1427" s="361"/>
      <c r="O1427" s="95">
        <f t="shared" ref="O1427:O1458" si="216">I1427+L1427</f>
        <v>200</v>
      </c>
      <c r="P1427" s="95">
        <f t="shared" ref="P1427:P1458" si="217">J1427+M1427</f>
        <v>0</v>
      </c>
      <c r="Q1427" s="361">
        <f t="shared" ref="Q1427:Q1458" si="218">P1427/O1427*100</f>
        <v>0</v>
      </c>
    </row>
    <row r="1428" spans="2:17" x14ac:dyDescent="0.2">
      <c r="B1428" s="18">
        <f t="shared" ref="B1428:B1459" si="219">B1427+1</f>
        <v>66</v>
      </c>
      <c r="C1428" s="6"/>
      <c r="D1428" s="6"/>
      <c r="E1428" s="6"/>
      <c r="F1428" s="93"/>
      <c r="G1428" s="5">
        <v>637</v>
      </c>
      <c r="H1428" s="6" t="s">
        <v>122</v>
      </c>
      <c r="I1428" s="7">
        <f>58000+6500</f>
        <v>64500</v>
      </c>
      <c r="J1428" s="7">
        <v>55113</v>
      </c>
      <c r="K1428" s="361">
        <f t="shared" si="215"/>
        <v>85.446511627906972</v>
      </c>
      <c r="L1428" s="7"/>
      <c r="M1428" s="7"/>
      <c r="N1428" s="361"/>
      <c r="O1428" s="95">
        <f t="shared" si="216"/>
        <v>64500</v>
      </c>
      <c r="P1428" s="95">
        <f t="shared" si="217"/>
        <v>55113</v>
      </c>
      <c r="Q1428" s="361">
        <f t="shared" si="218"/>
        <v>85.446511627906972</v>
      </c>
    </row>
    <row r="1429" spans="2:17" x14ac:dyDescent="0.2">
      <c r="B1429" s="18">
        <f t="shared" si="219"/>
        <v>67</v>
      </c>
      <c r="C1429" s="3"/>
      <c r="D1429" s="3"/>
      <c r="E1429" s="3"/>
      <c r="F1429" s="90" t="s">
        <v>179</v>
      </c>
      <c r="G1429" s="2">
        <v>640</v>
      </c>
      <c r="H1429" s="3" t="s">
        <v>129</v>
      </c>
      <c r="I1429" s="4">
        <v>8000</v>
      </c>
      <c r="J1429" s="4">
        <v>4866</v>
      </c>
      <c r="K1429" s="361">
        <f t="shared" si="215"/>
        <v>60.824999999999996</v>
      </c>
      <c r="L1429" s="4"/>
      <c r="M1429" s="4"/>
      <c r="N1429" s="361"/>
      <c r="O1429" s="92">
        <f t="shared" si="216"/>
        <v>8000</v>
      </c>
      <c r="P1429" s="92">
        <f t="shared" si="217"/>
        <v>4866</v>
      </c>
      <c r="Q1429" s="361">
        <f t="shared" si="218"/>
        <v>60.824999999999996</v>
      </c>
    </row>
    <row r="1430" spans="2:17" ht="15" x14ac:dyDescent="0.25">
      <c r="B1430" s="18">
        <f t="shared" si="219"/>
        <v>68</v>
      </c>
      <c r="C1430" s="176"/>
      <c r="D1430" s="176"/>
      <c r="E1430" s="176">
        <v>8</v>
      </c>
      <c r="F1430" s="177"/>
      <c r="G1430" s="177"/>
      <c r="H1430" s="176" t="s">
        <v>6</v>
      </c>
      <c r="I1430" s="178">
        <f>I1431</f>
        <v>110000</v>
      </c>
      <c r="J1430" s="178">
        <f>J1431</f>
        <v>76060</v>
      </c>
      <c r="K1430" s="361">
        <f t="shared" si="215"/>
        <v>69.145454545454541</v>
      </c>
      <c r="L1430" s="178"/>
      <c r="M1430" s="178"/>
      <c r="N1430" s="361"/>
      <c r="O1430" s="179">
        <f t="shared" si="216"/>
        <v>110000</v>
      </c>
      <c r="P1430" s="179">
        <f t="shared" si="217"/>
        <v>76060</v>
      </c>
      <c r="Q1430" s="361">
        <f t="shared" si="218"/>
        <v>69.145454545454541</v>
      </c>
    </row>
    <row r="1431" spans="2:17" x14ac:dyDescent="0.2">
      <c r="B1431" s="18">
        <f t="shared" si="219"/>
        <v>69</v>
      </c>
      <c r="C1431" s="3"/>
      <c r="D1431" s="3"/>
      <c r="E1431" s="3"/>
      <c r="F1431" s="90" t="s">
        <v>179</v>
      </c>
      <c r="G1431" s="2">
        <v>630</v>
      </c>
      <c r="H1431" s="3" t="s">
        <v>121</v>
      </c>
      <c r="I1431" s="4">
        <f>I1432</f>
        <v>110000</v>
      </c>
      <c r="J1431" s="4">
        <f>J1432</f>
        <v>76060</v>
      </c>
      <c r="K1431" s="361">
        <f t="shared" si="215"/>
        <v>69.145454545454541</v>
      </c>
      <c r="L1431" s="4"/>
      <c r="M1431" s="4"/>
      <c r="N1431" s="361"/>
      <c r="O1431" s="92">
        <f t="shared" si="216"/>
        <v>110000</v>
      </c>
      <c r="P1431" s="92">
        <f t="shared" si="217"/>
        <v>76060</v>
      </c>
      <c r="Q1431" s="361">
        <f t="shared" si="218"/>
        <v>69.145454545454541</v>
      </c>
    </row>
    <row r="1432" spans="2:17" x14ac:dyDescent="0.2">
      <c r="B1432" s="18">
        <f t="shared" si="219"/>
        <v>70</v>
      </c>
      <c r="C1432" s="6"/>
      <c r="D1432" s="6"/>
      <c r="E1432" s="6"/>
      <c r="F1432" s="93"/>
      <c r="G1432" s="5">
        <v>636</v>
      </c>
      <c r="H1432" s="6" t="s">
        <v>126</v>
      </c>
      <c r="I1432" s="7">
        <v>110000</v>
      </c>
      <c r="J1432" s="7">
        <v>76060</v>
      </c>
      <c r="K1432" s="361">
        <f t="shared" si="215"/>
        <v>69.145454545454541</v>
      </c>
      <c r="L1432" s="7"/>
      <c r="M1432" s="7"/>
      <c r="N1432" s="361"/>
      <c r="O1432" s="95">
        <f t="shared" si="216"/>
        <v>110000</v>
      </c>
      <c r="P1432" s="95">
        <f t="shared" si="217"/>
        <v>76060</v>
      </c>
      <c r="Q1432" s="361">
        <f t="shared" si="218"/>
        <v>69.145454545454541</v>
      </c>
    </row>
    <row r="1433" spans="2:17" ht="15" x14ac:dyDescent="0.25">
      <c r="B1433" s="18">
        <f t="shared" si="219"/>
        <v>71</v>
      </c>
      <c r="C1433" s="96"/>
      <c r="D1433" s="96">
        <v>4</v>
      </c>
      <c r="E1433" s="497" t="s">
        <v>201</v>
      </c>
      <c r="F1433" s="498"/>
      <c r="G1433" s="498"/>
      <c r="H1433" s="498"/>
      <c r="I1433" s="97">
        <f>I1437</f>
        <v>984660</v>
      </c>
      <c r="J1433" s="97">
        <f>J1437</f>
        <v>857421</v>
      </c>
      <c r="K1433" s="361">
        <f t="shared" si="215"/>
        <v>87.077874596307353</v>
      </c>
      <c r="L1433" s="97">
        <f>L1434+L1437</f>
        <v>509500</v>
      </c>
      <c r="M1433" s="97">
        <f>M1434+M1437</f>
        <v>508853</v>
      </c>
      <c r="N1433" s="361">
        <f>M1433/L1433*100</f>
        <v>99.873012757605494</v>
      </c>
      <c r="O1433" s="98">
        <f t="shared" si="216"/>
        <v>1494160</v>
      </c>
      <c r="P1433" s="98">
        <f t="shared" si="217"/>
        <v>1366274</v>
      </c>
      <c r="Q1433" s="361">
        <f t="shared" si="218"/>
        <v>91.440943406328628</v>
      </c>
    </row>
    <row r="1434" spans="2:17" x14ac:dyDescent="0.2">
      <c r="B1434" s="18">
        <f t="shared" si="219"/>
        <v>72</v>
      </c>
      <c r="C1434" s="3"/>
      <c r="D1434" s="3"/>
      <c r="E1434" s="3"/>
      <c r="F1434" s="90" t="s">
        <v>179</v>
      </c>
      <c r="G1434" s="2">
        <v>710</v>
      </c>
      <c r="H1434" s="3" t="s">
        <v>175</v>
      </c>
      <c r="I1434" s="4"/>
      <c r="J1434" s="4"/>
      <c r="K1434" s="361"/>
      <c r="L1434" s="4">
        <f>L1435</f>
        <v>506000</v>
      </c>
      <c r="M1434" s="4">
        <f>M1435</f>
        <v>505433</v>
      </c>
      <c r="N1434" s="361">
        <f>M1434/L1434*100</f>
        <v>99.887944664031622</v>
      </c>
      <c r="O1434" s="92">
        <f t="shared" si="216"/>
        <v>506000</v>
      </c>
      <c r="P1434" s="92">
        <f t="shared" si="217"/>
        <v>505433</v>
      </c>
      <c r="Q1434" s="361">
        <f t="shared" si="218"/>
        <v>99.887944664031622</v>
      </c>
    </row>
    <row r="1435" spans="2:17" x14ac:dyDescent="0.2">
      <c r="B1435" s="18">
        <f t="shared" si="219"/>
        <v>73</v>
      </c>
      <c r="C1435" s="6"/>
      <c r="D1435" s="6"/>
      <c r="E1435" s="6"/>
      <c r="F1435" s="93"/>
      <c r="G1435" s="5">
        <v>717</v>
      </c>
      <c r="H1435" s="6" t="s">
        <v>182</v>
      </c>
      <c r="I1435" s="7"/>
      <c r="J1435" s="7"/>
      <c r="K1435" s="361"/>
      <c r="L1435" s="7">
        <f>L1436</f>
        <v>506000</v>
      </c>
      <c r="M1435" s="7">
        <f>M1436</f>
        <v>505433</v>
      </c>
      <c r="N1435" s="361">
        <f>M1435/L1435*100</f>
        <v>99.887944664031622</v>
      </c>
      <c r="O1435" s="95">
        <f t="shared" si="216"/>
        <v>506000</v>
      </c>
      <c r="P1435" s="95">
        <f t="shared" si="217"/>
        <v>505433</v>
      </c>
      <c r="Q1435" s="361">
        <f t="shared" si="218"/>
        <v>99.887944664031622</v>
      </c>
    </row>
    <row r="1436" spans="2:17" s="122" customFormat="1" x14ac:dyDescent="0.2">
      <c r="B1436" s="18">
        <f t="shared" si="219"/>
        <v>74</v>
      </c>
      <c r="C1436" s="67"/>
      <c r="D1436" s="67"/>
      <c r="E1436" s="67"/>
      <c r="F1436" s="8"/>
      <c r="G1436" s="8"/>
      <c r="H1436" s="9" t="s">
        <v>283</v>
      </c>
      <c r="I1436" s="11"/>
      <c r="J1436" s="11"/>
      <c r="K1436" s="361"/>
      <c r="L1436" s="11">
        <f>498000+8000</f>
        <v>506000</v>
      </c>
      <c r="M1436" s="11">
        <v>505433</v>
      </c>
      <c r="N1436" s="361">
        <f>M1436/L1436*100</f>
        <v>99.887944664031622</v>
      </c>
      <c r="O1436" s="209">
        <f t="shared" si="216"/>
        <v>506000</v>
      </c>
      <c r="P1436" s="209">
        <f t="shared" si="217"/>
        <v>505433</v>
      </c>
      <c r="Q1436" s="361">
        <f t="shared" si="218"/>
        <v>99.887944664031622</v>
      </c>
    </row>
    <row r="1437" spans="2:17" s="122" customFormat="1" ht="15" x14ac:dyDescent="0.25">
      <c r="B1437" s="18">
        <f t="shared" si="219"/>
        <v>75</v>
      </c>
      <c r="C1437" s="176"/>
      <c r="D1437" s="176"/>
      <c r="E1437" s="176">
        <v>2</v>
      </c>
      <c r="F1437" s="177"/>
      <c r="G1437" s="177"/>
      <c r="H1437" s="176" t="s">
        <v>11</v>
      </c>
      <c r="I1437" s="178">
        <f>I1438+I1439+I1440+I1445</f>
        <v>984660</v>
      </c>
      <c r="J1437" s="178">
        <f>J1438+J1439+J1440+J1445</f>
        <v>857421</v>
      </c>
      <c r="K1437" s="361">
        <f t="shared" ref="K1437:K1445" si="220">J1437/I1437*100</f>
        <v>87.077874596307353</v>
      </c>
      <c r="L1437" s="178">
        <f>L1446</f>
        <v>3500</v>
      </c>
      <c r="M1437" s="178">
        <f>M1446</f>
        <v>3420</v>
      </c>
      <c r="N1437" s="361">
        <f>M1437/L1437*100</f>
        <v>97.714285714285708</v>
      </c>
      <c r="O1437" s="179">
        <f t="shared" si="216"/>
        <v>988160</v>
      </c>
      <c r="P1437" s="179">
        <f t="shared" si="217"/>
        <v>860841</v>
      </c>
      <c r="Q1437" s="361">
        <f t="shared" si="218"/>
        <v>87.115548089378237</v>
      </c>
    </row>
    <row r="1438" spans="2:17" x14ac:dyDescent="0.2">
      <c r="B1438" s="18">
        <f t="shared" si="219"/>
        <v>76</v>
      </c>
      <c r="C1438" s="3"/>
      <c r="D1438" s="3"/>
      <c r="E1438" s="3"/>
      <c r="F1438" s="90" t="s">
        <v>179</v>
      </c>
      <c r="G1438" s="2">
        <v>610</v>
      </c>
      <c r="H1438" s="3" t="s">
        <v>131</v>
      </c>
      <c r="I1438" s="4">
        <v>232500</v>
      </c>
      <c r="J1438" s="4">
        <f>228268</f>
        <v>228268</v>
      </c>
      <c r="K1438" s="361">
        <f t="shared" si="220"/>
        <v>98.179784946236566</v>
      </c>
      <c r="L1438" s="4"/>
      <c r="M1438" s="4"/>
      <c r="N1438" s="361"/>
      <c r="O1438" s="92">
        <f t="shared" si="216"/>
        <v>232500</v>
      </c>
      <c r="P1438" s="92">
        <f t="shared" si="217"/>
        <v>228268</v>
      </c>
      <c r="Q1438" s="361">
        <f t="shared" si="218"/>
        <v>98.179784946236566</v>
      </c>
    </row>
    <row r="1439" spans="2:17" x14ac:dyDescent="0.2">
      <c r="B1439" s="18">
        <f t="shared" si="219"/>
        <v>77</v>
      </c>
      <c r="C1439" s="3"/>
      <c r="D1439" s="3"/>
      <c r="E1439" s="3"/>
      <c r="F1439" s="90" t="s">
        <v>179</v>
      </c>
      <c r="G1439" s="2">
        <v>620</v>
      </c>
      <c r="H1439" s="3" t="s">
        <v>124</v>
      </c>
      <c r="I1439" s="4">
        <f>24815+87495</f>
        <v>112310</v>
      </c>
      <c r="J1439" s="4">
        <f>82839+21981</f>
        <v>104820</v>
      </c>
      <c r="K1439" s="361">
        <f t="shared" si="220"/>
        <v>93.330958952898229</v>
      </c>
      <c r="L1439" s="4"/>
      <c r="M1439" s="4"/>
      <c r="N1439" s="361"/>
      <c r="O1439" s="92">
        <f t="shared" si="216"/>
        <v>112310</v>
      </c>
      <c r="P1439" s="92">
        <f t="shared" si="217"/>
        <v>104820</v>
      </c>
      <c r="Q1439" s="361">
        <f t="shared" si="218"/>
        <v>93.330958952898229</v>
      </c>
    </row>
    <row r="1440" spans="2:17" x14ac:dyDescent="0.2">
      <c r="B1440" s="18">
        <f t="shared" si="219"/>
        <v>78</v>
      </c>
      <c r="C1440" s="3"/>
      <c r="D1440" s="3"/>
      <c r="E1440" s="3"/>
      <c r="F1440" s="90" t="s">
        <v>179</v>
      </c>
      <c r="G1440" s="2">
        <v>630</v>
      </c>
      <c r="H1440" s="3" t="s">
        <v>121</v>
      </c>
      <c r="I1440" s="4">
        <f>I1444+I1443+I1442+I1441</f>
        <v>626000</v>
      </c>
      <c r="J1440" s="4">
        <f>J1444+J1443+J1442+J1441</f>
        <v>511858</v>
      </c>
      <c r="K1440" s="361">
        <f t="shared" si="220"/>
        <v>81.766453674121408</v>
      </c>
      <c r="L1440" s="4"/>
      <c r="M1440" s="4"/>
      <c r="N1440" s="361"/>
      <c r="O1440" s="92">
        <f t="shared" si="216"/>
        <v>626000</v>
      </c>
      <c r="P1440" s="92">
        <f t="shared" si="217"/>
        <v>511858</v>
      </c>
      <c r="Q1440" s="361">
        <f t="shared" si="218"/>
        <v>81.766453674121408</v>
      </c>
    </row>
    <row r="1441" spans="2:17" x14ac:dyDescent="0.2">
      <c r="B1441" s="18">
        <f t="shared" si="219"/>
        <v>79</v>
      </c>
      <c r="C1441" s="6"/>
      <c r="D1441" s="6"/>
      <c r="E1441" s="6"/>
      <c r="F1441" s="93"/>
      <c r="G1441" s="5">
        <v>632</v>
      </c>
      <c r="H1441" s="6" t="s">
        <v>134</v>
      </c>
      <c r="I1441" s="7">
        <v>380000</v>
      </c>
      <c r="J1441" s="7">
        <f>178917+112316+1</f>
        <v>291234</v>
      </c>
      <c r="K1441" s="361">
        <f t="shared" si="220"/>
        <v>76.640526315789472</v>
      </c>
      <c r="L1441" s="7"/>
      <c r="M1441" s="7"/>
      <c r="N1441" s="361"/>
      <c r="O1441" s="95">
        <f t="shared" si="216"/>
        <v>380000</v>
      </c>
      <c r="P1441" s="95">
        <f t="shared" si="217"/>
        <v>291234</v>
      </c>
      <c r="Q1441" s="361">
        <f t="shared" si="218"/>
        <v>76.640526315789472</v>
      </c>
    </row>
    <row r="1442" spans="2:17" x14ac:dyDescent="0.2">
      <c r="B1442" s="18">
        <f t="shared" si="219"/>
        <v>80</v>
      </c>
      <c r="C1442" s="6"/>
      <c r="D1442" s="6"/>
      <c r="E1442" s="6"/>
      <c r="F1442" s="93"/>
      <c r="G1442" s="5">
        <v>633</v>
      </c>
      <c r="H1442" s="6" t="s">
        <v>125</v>
      </c>
      <c r="I1442" s="7">
        <f>70000-3500-5000</f>
        <v>61500</v>
      </c>
      <c r="J1442" s="7">
        <f>17729+34778</f>
        <v>52507</v>
      </c>
      <c r="K1442" s="361">
        <f t="shared" si="220"/>
        <v>85.377235772357736</v>
      </c>
      <c r="L1442" s="7"/>
      <c r="M1442" s="7"/>
      <c r="N1442" s="361"/>
      <c r="O1442" s="95">
        <f t="shared" si="216"/>
        <v>61500</v>
      </c>
      <c r="P1442" s="95">
        <f t="shared" si="217"/>
        <v>52507</v>
      </c>
      <c r="Q1442" s="361">
        <f t="shared" si="218"/>
        <v>85.377235772357736</v>
      </c>
    </row>
    <row r="1443" spans="2:17" x14ac:dyDescent="0.2">
      <c r="B1443" s="18">
        <f t="shared" si="219"/>
        <v>81</v>
      </c>
      <c r="C1443" s="6"/>
      <c r="D1443" s="6"/>
      <c r="E1443" s="6"/>
      <c r="F1443" s="93"/>
      <c r="G1443" s="5">
        <v>635</v>
      </c>
      <c r="H1443" s="6" t="s">
        <v>133</v>
      </c>
      <c r="I1443" s="7">
        <f>57000+8000+5000+2500</f>
        <v>72500</v>
      </c>
      <c r="J1443" s="7">
        <f>39728+27553</f>
        <v>67281</v>
      </c>
      <c r="K1443" s="361">
        <f t="shared" si="220"/>
        <v>92.801379310344828</v>
      </c>
      <c r="L1443" s="7"/>
      <c r="M1443" s="7"/>
      <c r="N1443" s="361"/>
      <c r="O1443" s="95">
        <f t="shared" si="216"/>
        <v>72500</v>
      </c>
      <c r="P1443" s="95">
        <f t="shared" si="217"/>
        <v>67281</v>
      </c>
      <c r="Q1443" s="361">
        <f t="shared" si="218"/>
        <v>92.801379310344828</v>
      </c>
    </row>
    <row r="1444" spans="2:17" x14ac:dyDescent="0.2">
      <c r="B1444" s="18">
        <f t="shared" si="219"/>
        <v>82</v>
      </c>
      <c r="C1444" s="6"/>
      <c r="D1444" s="6"/>
      <c r="E1444" s="6"/>
      <c r="F1444" s="93"/>
      <c r="G1444" s="5">
        <v>637</v>
      </c>
      <c r="H1444" s="6" t="s">
        <v>122</v>
      </c>
      <c r="I1444" s="7">
        <v>112000</v>
      </c>
      <c r="J1444" s="7">
        <f>18849+81988-1</f>
        <v>100836</v>
      </c>
      <c r="K1444" s="361">
        <f t="shared" si="220"/>
        <v>90.032142857142858</v>
      </c>
      <c r="L1444" s="7"/>
      <c r="M1444" s="7"/>
      <c r="N1444" s="361"/>
      <c r="O1444" s="95">
        <f t="shared" si="216"/>
        <v>112000</v>
      </c>
      <c r="P1444" s="95">
        <f t="shared" si="217"/>
        <v>100836</v>
      </c>
      <c r="Q1444" s="361">
        <f t="shared" si="218"/>
        <v>90.032142857142858</v>
      </c>
    </row>
    <row r="1445" spans="2:17" x14ac:dyDescent="0.2">
      <c r="B1445" s="18">
        <f t="shared" si="219"/>
        <v>83</v>
      </c>
      <c r="C1445" s="3"/>
      <c r="D1445" s="3"/>
      <c r="E1445" s="3"/>
      <c r="F1445" s="90" t="s">
        <v>179</v>
      </c>
      <c r="G1445" s="2">
        <v>640</v>
      </c>
      <c r="H1445" s="3" t="s">
        <v>129</v>
      </c>
      <c r="I1445" s="4">
        <f>1650+11000+700+500</f>
        <v>13850</v>
      </c>
      <c r="J1445" s="4">
        <f>12475</f>
        <v>12475</v>
      </c>
      <c r="K1445" s="361">
        <f t="shared" si="220"/>
        <v>90.072202166064983</v>
      </c>
      <c r="L1445" s="4"/>
      <c r="M1445" s="4"/>
      <c r="N1445" s="361"/>
      <c r="O1445" s="92">
        <f t="shared" si="216"/>
        <v>13850</v>
      </c>
      <c r="P1445" s="92">
        <f t="shared" si="217"/>
        <v>12475</v>
      </c>
      <c r="Q1445" s="361">
        <f t="shared" si="218"/>
        <v>90.072202166064983</v>
      </c>
    </row>
    <row r="1446" spans="2:17" x14ac:dyDescent="0.2">
      <c r="B1446" s="18">
        <f t="shared" si="219"/>
        <v>84</v>
      </c>
      <c r="C1446" s="3"/>
      <c r="D1446" s="3"/>
      <c r="E1446" s="3"/>
      <c r="F1446" s="90"/>
      <c r="G1446" s="2">
        <v>710</v>
      </c>
      <c r="H1446" s="3" t="s">
        <v>175</v>
      </c>
      <c r="I1446" s="4"/>
      <c r="J1446" s="4"/>
      <c r="K1446" s="361"/>
      <c r="L1446" s="4">
        <f>L1447</f>
        <v>3500</v>
      </c>
      <c r="M1446" s="4">
        <f>M1447</f>
        <v>3420</v>
      </c>
      <c r="N1446" s="361">
        <f>M1446/L1446*100</f>
        <v>97.714285714285708</v>
      </c>
      <c r="O1446" s="92">
        <f t="shared" si="216"/>
        <v>3500</v>
      </c>
      <c r="P1446" s="92">
        <f t="shared" si="217"/>
        <v>3420</v>
      </c>
      <c r="Q1446" s="361">
        <f t="shared" si="218"/>
        <v>97.714285714285708</v>
      </c>
    </row>
    <row r="1447" spans="2:17" x14ac:dyDescent="0.2">
      <c r="B1447" s="18">
        <f t="shared" si="219"/>
        <v>85</v>
      </c>
      <c r="C1447" s="3"/>
      <c r="D1447" s="3"/>
      <c r="E1447" s="3"/>
      <c r="F1447" s="90"/>
      <c r="G1447" s="5">
        <v>713</v>
      </c>
      <c r="H1447" s="6" t="s">
        <v>218</v>
      </c>
      <c r="I1447" s="7"/>
      <c r="J1447" s="7"/>
      <c r="K1447" s="361"/>
      <c r="L1447" s="7">
        <f>L1448</f>
        <v>3500</v>
      </c>
      <c r="M1447" s="7">
        <f>M1448</f>
        <v>3420</v>
      </c>
      <c r="N1447" s="361">
        <f>M1447/L1447*100</f>
        <v>97.714285714285708</v>
      </c>
      <c r="O1447" s="95">
        <f t="shared" si="216"/>
        <v>3500</v>
      </c>
      <c r="P1447" s="95">
        <f t="shared" si="217"/>
        <v>3420</v>
      </c>
      <c r="Q1447" s="361">
        <f t="shared" si="218"/>
        <v>97.714285714285708</v>
      </c>
    </row>
    <row r="1448" spans="2:17" x14ac:dyDescent="0.2">
      <c r="B1448" s="18">
        <f t="shared" si="219"/>
        <v>86</v>
      </c>
      <c r="C1448" s="3"/>
      <c r="D1448" s="3"/>
      <c r="E1448" s="3"/>
      <c r="F1448" s="90"/>
      <c r="G1448" s="8"/>
      <c r="H1448" s="9" t="s">
        <v>589</v>
      </c>
      <c r="I1448" s="10"/>
      <c r="J1448" s="10"/>
      <c r="K1448" s="361"/>
      <c r="L1448" s="11">
        <v>3500</v>
      </c>
      <c r="M1448" s="11">
        <v>3420</v>
      </c>
      <c r="N1448" s="361">
        <f>M1448/L1448*100</f>
        <v>97.714285714285708</v>
      </c>
      <c r="O1448" s="108">
        <f t="shared" si="216"/>
        <v>3500</v>
      </c>
      <c r="P1448" s="108">
        <f t="shared" si="217"/>
        <v>3420</v>
      </c>
      <c r="Q1448" s="361">
        <f t="shared" si="218"/>
        <v>97.714285714285708</v>
      </c>
    </row>
    <row r="1449" spans="2:17" ht="15" x14ac:dyDescent="0.25">
      <c r="B1449" s="18">
        <f t="shared" si="219"/>
        <v>87</v>
      </c>
      <c r="C1449" s="96"/>
      <c r="D1449" s="96">
        <v>5</v>
      </c>
      <c r="E1449" s="497" t="s">
        <v>246</v>
      </c>
      <c r="F1449" s="498"/>
      <c r="G1449" s="498"/>
      <c r="H1449" s="498"/>
      <c r="I1449" s="97">
        <f>I1450</f>
        <v>1000</v>
      </c>
      <c r="J1449" s="97">
        <f>J1450</f>
        <v>26</v>
      </c>
      <c r="K1449" s="361">
        <f>J1449/I1449*100</f>
        <v>2.6</v>
      </c>
      <c r="L1449" s="97"/>
      <c r="M1449" s="97"/>
      <c r="N1449" s="361"/>
      <c r="O1449" s="98">
        <f t="shared" si="216"/>
        <v>1000</v>
      </c>
      <c r="P1449" s="98">
        <f t="shared" si="217"/>
        <v>26</v>
      </c>
      <c r="Q1449" s="361">
        <f t="shared" si="218"/>
        <v>2.6</v>
      </c>
    </row>
    <row r="1450" spans="2:17" ht="15" x14ac:dyDescent="0.25">
      <c r="B1450" s="18">
        <f t="shared" si="219"/>
        <v>88</v>
      </c>
      <c r="C1450" s="176"/>
      <c r="D1450" s="176"/>
      <c r="E1450" s="176">
        <v>2</v>
      </c>
      <c r="F1450" s="177"/>
      <c r="G1450" s="177"/>
      <c r="H1450" s="176" t="s">
        <v>11</v>
      </c>
      <c r="I1450" s="178">
        <f>I1451</f>
        <v>1000</v>
      </c>
      <c r="J1450" s="178">
        <f>J1451</f>
        <v>26</v>
      </c>
      <c r="K1450" s="361">
        <f>J1450/I1450*100</f>
        <v>2.6</v>
      </c>
      <c r="L1450" s="178"/>
      <c r="M1450" s="178"/>
      <c r="N1450" s="361"/>
      <c r="O1450" s="179">
        <f t="shared" si="216"/>
        <v>1000</v>
      </c>
      <c r="P1450" s="179">
        <f t="shared" si="217"/>
        <v>26</v>
      </c>
      <c r="Q1450" s="361">
        <f t="shared" si="218"/>
        <v>2.6</v>
      </c>
    </row>
    <row r="1451" spans="2:17" x14ac:dyDescent="0.2">
      <c r="B1451" s="18">
        <f t="shared" si="219"/>
        <v>89</v>
      </c>
      <c r="C1451" s="3"/>
      <c r="D1451" s="3"/>
      <c r="E1451" s="3"/>
      <c r="F1451" s="90" t="s">
        <v>179</v>
      </c>
      <c r="G1451" s="2">
        <v>630</v>
      </c>
      <c r="H1451" s="3" t="s">
        <v>121</v>
      </c>
      <c r="I1451" s="4">
        <f>SUM(I1452:I1452)</f>
        <v>1000</v>
      </c>
      <c r="J1451" s="4">
        <f>SUM(J1452:J1452)</f>
        <v>26</v>
      </c>
      <c r="K1451" s="361">
        <f>J1451/I1451*100</f>
        <v>2.6</v>
      </c>
      <c r="L1451" s="4"/>
      <c r="M1451" s="4"/>
      <c r="N1451" s="361"/>
      <c r="O1451" s="92">
        <f t="shared" si="216"/>
        <v>1000</v>
      </c>
      <c r="P1451" s="92">
        <f t="shared" si="217"/>
        <v>26</v>
      </c>
      <c r="Q1451" s="361">
        <f t="shared" si="218"/>
        <v>2.6</v>
      </c>
    </row>
    <row r="1452" spans="2:17" x14ac:dyDescent="0.2">
      <c r="B1452" s="18">
        <f t="shared" si="219"/>
        <v>90</v>
      </c>
      <c r="C1452" s="6"/>
      <c r="D1452" s="6"/>
      <c r="E1452" s="6"/>
      <c r="F1452" s="93"/>
      <c r="G1452" s="5">
        <v>637</v>
      </c>
      <c r="H1452" s="6" t="s">
        <v>122</v>
      </c>
      <c r="I1452" s="7">
        <v>1000</v>
      </c>
      <c r="J1452" s="7">
        <v>26</v>
      </c>
      <c r="K1452" s="361">
        <f>J1452/I1452*100</f>
        <v>2.6</v>
      </c>
      <c r="L1452" s="7"/>
      <c r="M1452" s="7"/>
      <c r="N1452" s="361"/>
      <c r="O1452" s="95">
        <f t="shared" si="216"/>
        <v>1000</v>
      </c>
      <c r="P1452" s="95">
        <f t="shared" si="217"/>
        <v>26</v>
      </c>
      <c r="Q1452" s="361">
        <f t="shared" si="218"/>
        <v>2.6</v>
      </c>
    </row>
    <row r="1453" spans="2:17" ht="15" x14ac:dyDescent="0.2">
      <c r="B1453" s="18">
        <f t="shared" si="219"/>
        <v>91</v>
      </c>
      <c r="C1453" s="82">
        <v>4</v>
      </c>
      <c r="D1453" s="495" t="s">
        <v>265</v>
      </c>
      <c r="E1453" s="496"/>
      <c r="F1453" s="496"/>
      <c r="G1453" s="496"/>
      <c r="H1453" s="496"/>
      <c r="I1453" s="83">
        <f>I1487</f>
        <v>181215</v>
      </c>
      <c r="J1453" s="83">
        <f>J1487</f>
        <v>156355</v>
      </c>
      <c r="K1453" s="361">
        <f>J1453/I1453*100</f>
        <v>86.281488839224124</v>
      </c>
      <c r="L1453" s="83">
        <f>L1454+L1468</f>
        <v>36520842</v>
      </c>
      <c r="M1453" s="83">
        <f>M1454+M1468</f>
        <v>2410238</v>
      </c>
      <c r="N1453" s="361">
        <f t="shared" ref="N1453:N1486" si="221">M1453/L1453*100</f>
        <v>6.5996233055086746</v>
      </c>
      <c r="O1453" s="99">
        <f t="shared" si="216"/>
        <v>36702057</v>
      </c>
      <c r="P1453" s="99">
        <f t="shared" si="217"/>
        <v>2566593</v>
      </c>
      <c r="Q1453" s="361">
        <f t="shared" si="218"/>
        <v>6.9930494631404452</v>
      </c>
    </row>
    <row r="1454" spans="2:17" x14ac:dyDescent="0.2">
      <c r="B1454" s="18">
        <f t="shared" si="219"/>
        <v>92</v>
      </c>
      <c r="C1454" s="180"/>
      <c r="D1454" s="180"/>
      <c r="E1454" s="180"/>
      <c r="F1454" s="210" t="s">
        <v>192</v>
      </c>
      <c r="G1454" s="182">
        <v>716</v>
      </c>
      <c r="H1454" s="180" t="s">
        <v>215</v>
      </c>
      <c r="I1454" s="183"/>
      <c r="J1454" s="183"/>
      <c r="K1454" s="361"/>
      <c r="L1454" s="183">
        <f>SUM(L1455:L1467)</f>
        <v>375984</v>
      </c>
      <c r="M1454" s="183">
        <f>SUM(M1455:M1467)</f>
        <v>59910</v>
      </c>
      <c r="N1454" s="361">
        <f t="shared" si="221"/>
        <v>15.934188688880377</v>
      </c>
      <c r="O1454" s="184">
        <f t="shared" si="216"/>
        <v>375984</v>
      </c>
      <c r="P1454" s="184">
        <f t="shared" si="217"/>
        <v>59910</v>
      </c>
      <c r="Q1454" s="361">
        <f t="shared" si="218"/>
        <v>15.934188688880377</v>
      </c>
    </row>
    <row r="1455" spans="2:17" x14ac:dyDescent="0.2">
      <c r="B1455" s="18">
        <f t="shared" si="219"/>
        <v>93</v>
      </c>
      <c r="C1455" s="67"/>
      <c r="D1455" s="67"/>
      <c r="E1455" s="67"/>
      <c r="F1455" s="8"/>
      <c r="G1455" s="8"/>
      <c r="H1455" s="9" t="s">
        <v>663</v>
      </c>
      <c r="I1455" s="10"/>
      <c r="J1455" s="10"/>
      <c r="K1455" s="361"/>
      <c r="L1455" s="11">
        <v>5000</v>
      </c>
      <c r="M1455" s="11">
        <v>300</v>
      </c>
      <c r="N1455" s="361">
        <f t="shared" si="221"/>
        <v>6</v>
      </c>
      <c r="O1455" s="108">
        <f t="shared" si="216"/>
        <v>5000</v>
      </c>
      <c r="P1455" s="108">
        <f t="shared" si="217"/>
        <v>300</v>
      </c>
      <c r="Q1455" s="361">
        <f t="shared" si="218"/>
        <v>6</v>
      </c>
    </row>
    <row r="1456" spans="2:17" x14ac:dyDescent="0.2">
      <c r="B1456" s="18">
        <f t="shared" si="219"/>
        <v>94</v>
      </c>
      <c r="C1456" s="67"/>
      <c r="D1456" s="67"/>
      <c r="E1456" s="67"/>
      <c r="F1456" s="8"/>
      <c r="G1456" s="8"/>
      <c r="H1456" s="9" t="s">
        <v>582</v>
      </c>
      <c r="I1456" s="10"/>
      <c r="J1456" s="10"/>
      <c r="K1456" s="361"/>
      <c r="L1456" s="11">
        <v>26000</v>
      </c>
      <c r="M1456" s="11">
        <v>0</v>
      </c>
      <c r="N1456" s="361">
        <f t="shared" si="221"/>
        <v>0</v>
      </c>
      <c r="O1456" s="108">
        <f t="shared" si="216"/>
        <v>26000</v>
      </c>
      <c r="P1456" s="108">
        <f t="shared" si="217"/>
        <v>0</v>
      </c>
      <c r="Q1456" s="361">
        <f t="shared" si="218"/>
        <v>0</v>
      </c>
    </row>
    <row r="1457" spans="2:17" x14ac:dyDescent="0.2">
      <c r="B1457" s="18">
        <f t="shared" si="219"/>
        <v>95</v>
      </c>
      <c r="C1457" s="67"/>
      <c r="D1457" s="67"/>
      <c r="E1457" s="67"/>
      <c r="F1457" s="8"/>
      <c r="G1457" s="8"/>
      <c r="H1457" s="9" t="s">
        <v>485</v>
      </c>
      <c r="I1457" s="10"/>
      <c r="J1457" s="10"/>
      <c r="K1457" s="361"/>
      <c r="L1457" s="11">
        <v>30000</v>
      </c>
      <c r="M1457" s="11">
        <v>0</v>
      </c>
      <c r="N1457" s="361">
        <f t="shared" si="221"/>
        <v>0</v>
      </c>
      <c r="O1457" s="108">
        <f t="shared" si="216"/>
        <v>30000</v>
      </c>
      <c r="P1457" s="108">
        <f t="shared" si="217"/>
        <v>0</v>
      </c>
      <c r="Q1457" s="361">
        <f t="shared" si="218"/>
        <v>0</v>
      </c>
    </row>
    <row r="1458" spans="2:17" x14ac:dyDescent="0.2">
      <c r="B1458" s="18">
        <f t="shared" si="219"/>
        <v>96</v>
      </c>
      <c r="C1458" s="67"/>
      <c r="D1458" s="67"/>
      <c r="E1458" s="67"/>
      <c r="F1458" s="8"/>
      <c r="G1458" s="8"/>
      <c r="H1458" s="9" t="s">
        <v>600</v>
      </c>
      <c r="I1458" s="10"/>
      <c r="J1458" s="10"/>
      <c r="K1458" s="361"/>
      <c r="L1458" s="11">
        <v>21000</v>
      </c>
      <c r="M1458" s="11">
        <v>7160</v>
      </c>
      <c r="N1458" s="361">
        <f t="shared" si="221"/>
        <v>34.095238095238095</v>
      </c>
      <c r="O1458" s="108">
        <f t="shared" si="216"/>
        <v>21000</v>
      </c>
      <c r="P1458" s="108">
        <f t="shared" si="217"/>
        <v>7160</v>
      </c>
      <c r="Q1458" s="361">
        <f t="shared" si="218"/>
        <v>34.095238095238095</v>
      </c>
    </row>
    <row r="1459" spans="2:17" x14ac:dyDescent="0.2">
      <c r="B1459" s="18">
        <f t="shared" si="219"/>
        <v>97</v>
      </c>
      <c r="C1459" s="67"/>
      <c r="D1459" s="67"/>
      <c r="E1459" s="67"/>
      <c r="F1459" s="8"/>
      <c r="G1459" s="8"/>
      <c r="H1459" s="9" t="s">
        <v>464</v>
      </c>
      <c r="I1459" s="10"/>
      <c r="J1459" s="10"/>
      <c r="K1459" s="361"/>
      <c r="L1459" s="11">
        <v>40000</v>
      </c>
      <c r="M1459" s="11">
        <v>0</v>
      </c>
      <c r="N1459" s="361">
        <f t="shared" si="221"/>
        <v>0</v>
      </c>
      <c r="O1459" s="108">
        <f t="shared" ref="O1459:O1490" si="222">I1459+L1459</f>
        <v>40000</v>
      </c>
      <c r="P1459" s="108">
        <f t="shared" ref="P1459:P1490" si="223">J1459+M1459</f>
        <v>0</v>
      </c>
      <c r="Q1459" s="361">
        <f t="shared" ref="Q1459:Q1490" si="224">P1459/O1459*100</f>
        <v>0</v>
      </c>
    </row>
    <row r="1460" spans="2:17" x14ac:dyDescent="0.2">
      <c r="B1460" s="18">
        <f t="shared" ref="B1460:B1491" si="225">B1459+1</f>
        <v>98</v>
      </c>
      <c r="C1460" s="67"/>
      <c r="D1460" s="67"/>
      <c r="E1460" s="67"/>
      <c r="F1460" s="8"/>
      <c r="G1460" s="8"/>
      <c r="H1460" s="9" t="s">
        <v>400</v>
      </c>
      <c r="I1460" s="10"/>
      <c r="J1460" s="10"/>
      <c r="K1460" s="361"/>
      <c r="L1460" s="11">
        <v>37241</v>
      </c>
      <c r="M1460" s="11">
        <v>0</v>
      </c>
      <c r="N1460" s="361">
        <f t="shared" si="221"/>
        <v>0</v>
      </c>
      <c r="O1460" s="108">
        <f t="shared" si="222"/>
        <v>37241</v>
      </c>
      <c r="P1460" s="108">
        <f t="shared" si="223"/>
        <v>0</v>
      </c>
      <c r="Q1460" s="361">
        <f t="shared" si="224"/>
        <v>0</v>
      </c>
    </row>
    <row r="1461" spans="2:17" x14ac:dyDescent="0.2">
      <c r="B1461" s="18">
        <f t="shared" si="225"/>
        <v>99</v>
      </c>
      <c r="C1461" s="67"/>
      <c r="D1461" s="67"/>
      <c r="E1461" s="67"/>
      <c r="F1461" s="8"/>
      <c r="G1461" s="8"/>
      <c r="H1461" s="9" t="s">
        <v>456</v>
      </c>
      <c r="I1461" s="10"/>
      <c r="J1461" s="10"/>
      <c r="K1461" s="361"/>
      <c r="L1461" s="11">
        <f>62000-8700</f>
        <v>53300</v>
      </c>
      <c r="M1461" s="11">
        <v>368</v>
      </c>
      <c r="N1461" s="361">
        <f t="shared" si="221"/>
        <v>0.69043151969981242</v>
      </c>
      <c r="O1461" s="108">
        <f t="shared" si="222"/>
        <v>53300</v>
      </c>
      <c r="P1461" s="108">
        <f t="shared" si="223"/>
        <v>368</v>
      </c>
      <c r="Q1461" s="361">
        <f t="shared" si="224"/>
        <v>0.69043151969981242</v>
      </c>
    </row>
    <row r="1462" spans="2:17" ht="36" x14ac:dyDescent="0.2">
      <c r="B1462" s="18">
        <f t="shared" si="225"/>
        <v>100</v>
      </c>
      <c r="C1462" s="100"/>
      <c r="D1462" s="100"/>
      <c r="E1462" s="100"/>
      <c r="F1462" s="268"/>
      <c r="G1462" s="268"/>
      <c r="H1462" s="102" t="s">
        <v>441</v>
      </c>
      <c r="I1462" s="103"/>
      <c r="J1462" s="103"/>
      <c r="K1462" s="380"/>
      <c r="L1462" s="269">
        <v>35743</v>
      </c>
      <c r="M1462" s="269">
        <v>35424</v>
      </c>
      <c r="N1462" s="380">
        <f t="shared" si="221"/>
        <v>99.107517555885067</v>
      </c>
      <c r="O1462" s="105">
        <f t="shared" si="222"/>
        <v>35743</v>
      </c>
      <c r="P1462" s="105">
        <f t="shared" si="223"/>
        <v>35424</v>
      </c>
      <c r="Q1462" s="380">
        <f t="shared" si="224"/>
        <v>99.107517555885067</v>
      </c>
    </row>
    <row r="1463" spans="2:17" x14ac:dyDescent="0.2">
      <c r="B1463" s="18">
        <f t="shared" si="225"/>
        <v>101</v>
      </c>
      <c r="C1463" s="67"/>
      <c r="D1463" s="67"/>
      <c r="E1463" s="67"/>
      <c r="F1463" s="8"/>
      <c r="G1463" s="8"/>
      <c r="H1463" s="9" t="s">
        <v>553</v>
      </c>
      <c r="I1463" s="10"/>
      <c r="J1463" s="10"/>
      <c r="K1463" s="361"/>
      <c r="L1463" s="11">
        <v>46000</v>
      </c>
      <c r="M1463" s="11">
        <v>1200</v>
      </c>
      <c r="N1463" s="361">
        <f t="shared" si="221"/>
        <v>2.6086956521739131</v>
      </c>
      <c r="O1463" s="108">
        <f t="shared" si="222"/>
        <v>46000</v>
      </c>
      <c r="P1463" s="108">
        <f t="shared" si="223"/>
        <v>1200</v>
      </c>
      <c r="Q1463" s="361">
        <f t="shared" si="224"/>
        <v>2.6086956521739131</v>
      </c>
    </row>
    <row r="1464" spans="2:17" x14ac:dyDescent="0.2">
      <c r="B1464" s="18">
        <f t="shared" si="225"/>
        <v>102</v>
      </c>
      <c r="C1464" s="67"/>
      <c r="D1464" s="67"/>
      <c r="E1464" s="67"/>
      <c r="F1464" s="8"/>
      <c r="G1464" s="8"/>
      <c r="H1464" s="9" t="s">
        <v>398</v>
      </c>
      <c r="I1464" s="10"/>
      <c r="J1464" s="10"/>
      <c r="K1464" s="361"/>
      <c r="L1464" s="11">
        <v>1200</v>
      </c>
      <c r="M1464" s="11">
        <v>1200</v>
      </c>
      <c r="N1464" s="361">
        <f t="shared" si="221"/>
        <v>100</v>
      </c>
      <c r="O1464" s="108">
        <f t="shared" si="222"/>
        <v>1200</v>
      </c>
      <c r="P1464" s="108">
        <f t="shared" si="223"/>
        <v>1200</v>
      </c>
      <c r="Q1464" s="361">
        <f t="shared" si="224"/>
        <v>100</v>
      </c>
    </row>
    <row r="1465" spans="2:17" x14ac:dyDescent="0.2">
      <c r="B1465" s="18">
        <f t="shared" si="225"/>
        <v>103</v>
      </c>
      <c r="C1465" s="67"/>
      <c r="D1465" s="67"/>
      <c r="E1465" s="67"/>
      <c r="F1465" s="8"/>
      <c r="G1465" s="8"/>
      <c r="H1465" s="9" t="s">
        <v>272</v>
      </c>
      <c r="I1465" s="10"/>
      <c r="J1465" s="10"/>
      <c r="K1465" s="361"/>
      <c r="L1465" s="11">
        <f>20000+24000+1000</f>
        <v>45000</v>
      </c>
      <c r="M1465" s="11">
        <v>0</v>
      </c>
      <c r="N1465" s="361">
        <f t="shared" si="221"/>
        <v>0</v>
      </c>
      <c r="O1465" s="108">
        <f t="shared" si="222"/>
        <v>45000</v>
      </c>
      <c r="P1465" s="108">
        <f t="shared" si="223"/>
        <v>0</v>
      </c>
      <c r="Q1465" s="361">
        <f t="shared" si="224"/>
        <v>0</v>
      </c>
    </row>
    <row r="1466" spans="2:17" ht="24" x14ac:dyDescent="0.2">
      <c r="B1466" s="18">
        <f t="shared" si="225"/>
        <v>104</v>
      </c>
      <c r="C1466" s="100"/>
      <c r="D1466" s="100"/>
      <c r="E1466" s="100"/>
      <c r="F1466" s="268"/>
      <c r="G1466" s="268"/>
      <c r="H1466" s="102" t="s">
        <v>457</v>
      </c>
      <c r="I1466" s="103"/>
      <c r="J1466" s="103"/>
      <c r="K1466" s="380"/>
      <c r="L1466" s="269">
        <v>25500</v>
      </c>
      <c r="M1466" s="269">
        <v>14258</v>
      </c>
      <c r="N1466" s="380">
        <f t="shared" si="221"/>
        <v>55.913725490196079</v>
      </c>
      <c r="O1466" s="105">
        <f t="shared" si="222"/>
        <v>25500</v>
      </c>
      <c r="P1466" s="105">
        <f t="shared" si="223"/>
        <v>14258</v>
      </c>
      <c r="Q1466" s="380">
        <f t="shared" si="224"/>
        <v>55.913725490196079</v>
      </c>
    </row>
    <row r="1467" spans="2:17" s="122" customFormat="1" x14ac:dyDescent="0.2">
      <c r="B1467" s="18">
        <f t="shared" si="225"/>
        <v>105</v>
      </c>
      <c r="C1467" s="67"/>
      <c r="D1467" s="67"/>
      <c r="E1467" s="67"/>
      <c r="F1467" s="8"/>
      <c r="G1467" s="8"/>
      <c r="H1467" s="9" t="s">
        <v>545</v>
      </c>
      <c r="I1467" s="10"/>
      <c r="J1467" s="10"/>
      <c r="K1467" s="361"/>
      <c r="L1467" s="11">
        <v>10000</v>
      </c>
      <c r="M1467" s="11">
        <v>0</v>
      </c>
      <c r="N1467" s="361">
        <f t="shared" si="221"/>
        <v>0</v>
      </c>
      <c r="O1467" s="108">
        <f t="shared" si="222"/>
        <v>10000</v>
      </c>
      <c r="P1467" s="108">
        <f t="shared" si="223"/>
        <v>0</v>
      </c>
      <c r="Q1467" s="361">
        <f t="shared" si="224"/>
        <v>0</v>
      </c>
    </row>
    <row r="1468" spans="2:17" x14ac:dyDescent="0.2">
      <c r="B1468" s="18">
        <f t="shared" si="225"/>
        <v>106</v>
      </c>
      <c r="C1468" s="180"/>
      <c r="D1468" s="180"/>
      <c r="E1468" s="180"/>
      <c r="F1468" s="210" t="s">
        <v>192</v>
      </c>
      <c r="G1468" s="182">
        <v>717</v>
      </c>
      <c r="H1468" s="180" t="s">
        <v>182</v>
      </c>
      <c r="I1468" s="183"/>
      <c r="J1468" s="183"/>
      <c r="K1468" s="361"/>
      <c r="L1468" s="183">
        <f>SUM(L1469:L1486)</f>
        <v>36144858</v>
      </c>
      <c r="M1468" s="183">
        <f>SUM(M1469:M1486)</f>
        <v>2350328</v>
      </c>
      <c r="N1468" s="361">
        <f t="shared" si="221"/>
        <v>6.5025238168040387</v>
      </c>
      <c r="O1468" s="184">
        <f t="shared" si="222"/>
        <v>36144858</v>
      </c>
      <c r="P1468" s="184">
        <f t="shared" si="223"/>
        <v>2350328</v>
      </c>
      <c r="Q1468" s="361">
        <f t="shared" si="224"/>
        <v>6.5025238168040387</v>
      </c>
    </row>
    <row r="1469" spans="2:17" x14ac:dyDescent="0.2">
      <c r="B1469" s="18">
        <f t="shared" si="225"/>
        <v>107</v>
      </c>
      <c r="C1469" s="100"/>
      <c r="D1469" s="100"/>
      <c r="E1469" s="100"/>
      <c r="F1469" s="268"/>
      <c r="G1469" s="268"/>
      <c r="H1469" s="102" t="s">
        <v>561</v>
      </c>
      <c r="I1469" s="103"/>
      <c r="J1469" s="103"/>
      <c r="K1469" s="380"/>
      <c r="L1469" s="269">
        <v>25458</v>
      </c>
      <c r="M1469" s="269">
        <v>25458</v>
      </c>
      <c r="N1469" s="380">
        <f t="shared" si="221"/>
        <v>100</v>
      </c>
      <c r="O1469" s="105">
        <f t="shared" si="222"/>
        <v>25458</v>
      </c>
      <c r="P1469" s="105">
        <f t="shared" si="223"/>
        <v>25458</v>
      </c>
      <c r="Q1469" s="380">
        <f t="shared" si="224"/>
        <v>100</v>
      </c>
    </row>
    <row r="1470" spans="2:17" x14ac:dyDescent="0.2">
      <c r="B1470" s="18">
        <f t="shared" si="225"/>
        <v>108</v>
      </c>
      <c r="C1470" s="100"/>
      <c r="D1470" s="100"/>
      <c r="E1470" s="100"/>
      <c r="F1470" s="268"/>
      <c r="G1470" s="268"/>
      <c r="H1470" s="102" t="s">
        <v>530</v>
      </c>
      <c r="I1470" s="103"/>
      <c r="J1470" s="103"/>
      <c r="K1470" s="380"/>
      <c r="L1470" s="269">
        <f>12500-5000</f>
        <v>7500</v>
      </c>
      <c r="M1470" s="269">
        <v>0</v>
      </c>
      <c r="N1470" s="380">
        <f t="shared" si="221"/>
        <v>0</v>
      </c>
      <c r="O1470" s="105">
        <f t="shared" si="222"/>
        <v>7500</v>
      </c>
      <c r="P1470" s="105">
        <f t="shared" si="223"/>
        <v>0</v>
      </c>
      <c r="Q1470" s="380">
        <f t="shared" si="224"/>
        <v>0</v>
      </c>
    </row>
    <row r="1471" spans="2:17" x14ac:dyDescent="0.2">
      <c r="B1471" s="18">
        <f t="shared" si="225"/>
        <v>109</v>
      </c>
      <c r="C1471" s="100"/>
      <c r="D1471" s="100"/>
      <c r="E1471" s="100"/>
      <c r="F1471" s="268"/>
      <c r="G1471" s="268"/>
      <c r="H1471" s="102" t="s">
        <v>602</v>
      </c>
      <c r="I1471" s="103"/>
      <c r="J1471" s="103"/>
      <c r="K1471" s="380"/>
      <c r="L1471" s="269">
        <v>15000</v>
      </c>
      <c r="M1471" s="269">
        <v>5008</v>
      </c>
      <c r="N1471" s="380">
        <f t="shared" si="221"/>
        <v>33.386666666666663</v>
      </c>
      <c r="O1471" s="105">
        <f t="shared" si="222"/>
        <v>15000</v>
      </c>
      <c r="P1471" s="105">
        <f t="shared" si="223"/>
        <v>5008</v>
      </c>
      <c r="Q1471" s="380">
        <f t="shared" si="224"/>
        <v>33.386666666666663</v>
      </c>
    </row>
    <row r="1472" spans="2:17" ht="24" x14ac:dyDescent="0.2">
      <c r="B1472" s="18">
        <f t="shared" si="225"/>
        <v>110</v>
      </c>
      <c r="C1472" s="100"/>
      <c r="D1472" s="100"/>
      <c r="E1472" s="100"/>
      <c r="F1472" s="268"/>
      <c r="G1472" s="268"/>
      <c r="H1472" s="102" t="s">
        <v>473</v>
      </c>
      <c r="I1472" s="103"/>
      <c r="J1472" s="103"/>
      <c r="K1472" s="380"/>
      <c r="L1472" s="269">
        <v>720000</v>
      </c>
      <c r="M1472" s="269">
        <v>0</v>
      </c>
      <c r="N1472" s="380">
        <f t="shared" si="221"/>
        <v>0</v>
      </c>
      <c r="O1472" s="105">
        <f t="shared" si="222"/>
        <v>720000</v>
      </c>
      <c r="P1472" s="105">
        <f t="shared" si="223"/>
        <v>0</v>
      </c>
      <c r="Q1472" s="380">
        <f t="shared" si="224"/>
        <v>0</v>
      </c>
    </row>
    <row r="1473" spans="2:17" ht="24" x14ac:dyDescent="0.2">
      <c r="B1473" s="388">
        <f t="shared" si="225"/>
        <v>111</v>
      </c>
      <c r="C1473" s="389"/>
      <c r="D1473" s="389"/>
      <c r="E1473" s="389"/>
      <c r="F1473" s="390"/>
      <c r="G1473" s="390"/>
      <c r="H1473" s="102" t="s">
        <v>516</v>
      </c>
      <c r="I1473" s="391"/>
      <c r="J1473" s="391"/>
      <c r="K1473" s="392"/>
      <c r="L1473" s="393">
        <f>9300+14400+2500-2000</f>
        <v>24200</v>
      </c>
      <c r="M1473" s="393">
        <v>18120</v>
      </c>
      <c r="N1473" s="392">
        <f t="shared" si="221"/>
        <v>74.876033057851245</v>
      </c>
      <c r="O1473" s="394">
        <f t="shared" si="222"/>
        <v>24200</v>
      </c>
      <c r="P1473" s="394">
        <f t="shared" si="223"/>
        <v>18120</v>
      </c>
      <c r="Q1473" s="392">
        <f t="shared" si="224"/>
        <v>74.876033057851245</v>
      </c>
    </row>
    <row r="1474" spans="2:17" x14ac:dyDescent="0.2">
      <c r="B1474" s="18">
        <f t="shared" si="225"/>
        <v>112</v>
      </c>
      <c r="C1474" s="100"/>
      <c r="D1474" s="100"/>
      <c r="E1474" s="100"/>
      <c r="F1474" s="268"/>
      <c r="G1474" s="268"/>
      <c r="H1474" s="102" t="s">
        <v>700</v>
      </c>
      <c r="I1474" s="103"/>
      <c r="J1474" s="103"/>
      <c r="K1474" s="380"/>
      <c r="L1474" s="269">
        <v>1700000</v>
      </c>
      <c r="M1474" s="269">
        <v>0</v>
      </c>
      <c r="N1474" s="380">
        <f t="shared" si="221"/>
        <v>0</v>
      </c>
      <c r="O1474" s="105">
        <f t="shared" si="222"/>
        <v>1700000</v>
      </c>
      <c r="P1474" s="105">
        <f t="shared" si="223"/>
        <v>0</v>
      </c>
      <c r="Q1474" s="380">
        <f t="shared" si="224"/>
        <v>0</v>
      </c>
    </row>
    <row r="1475" spans="2:17" x14ac:dyDescent="0.2">
      <c r="B1475" s="18">
        <f t="shared" si="225"/>
        <v>113</v>
      </c>
      <c r="C1475" s="100"/>
      <c r="D1475" s="100"/>
      <c r="E1475" s="100"/>
      <c r="F1475" s="268"/>
      <c r="G1475" s="268"/>
      <c r="H1475" s="102" t="s">
        <v>491</v>
      </c>
      <c r="I1475" s="103"/>
      <c r="J1475" s="103"/>
      <c r="K1475" s="380"/>
      <c r="L1475" s="269">
        <v>9700000</v>
      </c>
      <c r="M1475" s="269">
        <v>1885222</v>
      </c>
      <c r="N1475" s="380">
        <f t="shared" si="221"/>
        <v>19.435278350515464</v>
      </c>
      <c r="O1475" s="105">
        <f t="shared" si="222"/>
        <v>9700000</v>
      </c>
      <c r="P1475" s="105">
        <f t="shared" si="223"/>
        <v>1885222</v>
      </c>
      <c r="Q1475" s="380">
        <f t="shared" si="224"/>
        <v>19.435278350515464</v>
      </c>
    </row>
    <row r="1476" spans="2:17" x14ac:dyDescent="0.2">
      <c r="B1476" s="18">
        <f t="shared" si="225"/>
        <v>114</v>
      </c>
      <c r="C1476" s="100"/>
      <c r="D1476" s="100"/>
      <c r="E1476" s="100"/>
      <c r="F1476" s="268"/>
      <c r="G1476" s="268"/>
      <c r="H1476" s="102" t="s">
        <v>440</v>
      </c>
      <c r="I1476" s="103"/>
      <c r="J1476" s="103"/>
      <c r="K1476" s="380"/>
      <c r="L1476" s="269">
        <f>850000+230000+102600</f>
        <v>1182600</v>
      </c>
      <c r="M1476" s="269">
        <v>759</v>
      </c>
      <c r="N1476" s="380">
        <f t="shared" si="221"/>
        <v>6.418061897513952E-2</v>
      </c>
      <c r="O1476" s="105">
        <f t="shared" si="222"/>
        <v>1182600</v>
      </c>
      <c r="P1476" s="105">
        <f t="shared" si="223"/>
        <v>759</v>
      </c>
      <c r="Q1476" s="380">
        <f t="shared" si="224"/>
        <v>6.418061897513952E-2</v>
      </c>
    </row>
    <row r="1477" spans="2:17" x14ac:dyDescent="0.2">
      <c r="B1477" s="18">
        <f t="shared" si="225"/>
        <v>115</v>
      </c>
      <c r="C1477" s="100"/>
      <c r="D1477" s="100"/>
      <c r="E1477" s="100"/>
      <c r="F1477" s="268"/>
      <c r="G1477" s="268"/>
      <c r="H1477" s="102" t="s">
        <v>492</v>
      </c>
      <c r="I1477" s="103"/>
      <c r="J1477" s="103"/>
      <c r="K1477" s="380"/>
      <c r="L1477" s="269">
        <v>2000000</v>
      </c>
      <c r="M1477" s="269">
        <v>9435</v>
      </c>
      <c r="N1477" s="380">
        <f t="shared" si="221"/>
        <v>0.47175000000000006</v>
      </c>
      <c r="O1477" s="105">
        <f t="shared" si="222"/>
        <v>2000000</v>
      </c>
      <c r="P1477" s="105">
        <f t="shared" si="223"/>
        <v>9435</v>
      </c>
      <c r="Q1477" s="380">
        <f t="shared" si="224"/>
        <v>0.47175000000000006</v>
      </c>
    </row>
    <row r="1478" spans="2:17" x14ac:dyDescent="0.2">
      <c r="B1478" s="18">
        <f t="shared" si="225"/>
        <v>116</v>
      </c>
      <c r="C1478" s="100"/>
      <c r="D1478" s="100"/>
      <c r="E1478" s="100"/>
      <c r="F1478" s="268"/>
      <c r="G1478" s="268"/>
      <c r="H1478" s="102" t="s">
        <v>398</v>
      </c>
      <c r="I1478" s="103"/>
      <c r="J1478" s="103"/>
      <c r="K1478" s="380"/>
      <c r="L1478" s="269">
        <f>135000+27000-1200</f>
        <v>160800</v>
      </c>
      <c r="M1478" s="269">
        <v>0</v>
      </c>
      <c r="N1478" s="380">
        <f t="shared" si="221"/>
        <v>0</v>
      </c>
      <c r="O1478" s="105">
        <f t="shared" si="222"/>
        <v>160800</v>
      </c>
      <c r="P1478" s="105">
        <f t="shared" si="223"/>
        <v>0</v>
      </c>
      <c r="Q1478" s="380">
        <f t="shared" si="224"/>
        <v>0</v>
      </c>
    </row>
    <row r="1479" spans="2:17" x14ac:dyDescent="0.2">
      <c r="B1479" s="18">
        <f t="shared" si="225"/>
        <v>117</v>
      </c>
      <c r="C1479" s="100"/>
      <c r="D1479" s="100"/>
      <c r="E1479" s="100"/>
      <c r="F1479" s="268"/>
      <c r="G1479" s="268"/>
      <c r="H1479" s="102" t="s">
        <v>484</v>
      </c>
      <c r="I1479" s="103"/>
      <c r="J1479" s="103"/>
      <c r="K1479" s="380"/>
      <c r="L1479" s="269">
        <f>2880000-480000</f>
        <v>2400000</v>
      </c>
      <c r="M1479" s="269">
        <v>144</v>
      </c>
      <c r="N1479" s="380">
        <f t="shared" si="221"/>
        <v>6.0000000000000001E-3</v>
      </c>
      <c r="O1479" s="105">
        <f t="shared" si="222"/>
        <v>2400000</v>
      </c>
      <c r="P1479" s="105">
        <f t="shared" si="223"/>
        <v>144</v>
      </c>
      <c r="Q1479" s="380">
        <f t="shared" si="224"/>
        <v>6.0000000000000001E-3</v>
      </c>
    </row>
    <row r="1480" spans="2:17" ht="24" x14ac:dyDescent="0.2">
      <c r="B1480" s="18">
        <f t="shared" si="225"/>
        <v>118</v>
      </c>
      <c r="C1480" s="100"/>
      <c r="D1480" s="100"/>
      <c r="E1480" s="100"/>
      <c r="F1480" s="268"/>
      <c r="G1480" s="268"/>
      <c r="H1480" s="102" t="s">
        <v>301</v>
      </c>
      <c r="I1480" s="103"/>
      <c r="J1480" s="103"/>
      <c r="K1480" s="380"/>
      <c r="L1480" s="269">
        <v>1800000</v>
      </c>
      <c r="M1480" s="269">
        <v>0</v>
      </c>
      <c r="N1480" s="380">
        <f t="shared" si="221"/>
        <v>0</v>
      </c>
      <c r="O1480" s="105">
        <f t="shared" si="222"/>
        <v>1800000</v>
      </c>
      <c r="P1480" s="105">
        <f t="shared" si="223"/>
        <v>0</v>
      </c>
      <c r="Q1480" s="380">
        <f t="shared" si="224"/>
        <v>0</v>
      </c>
    </row>
    <row r="1481" spans="2:17" x14ac:dyDescent="0.2">
      <c r="B1481" s="18">
        <f t="shared" si="225"/>
        <v>119</v>
      </c>
      <c r="C1481" s="100"/>
      <c r="D1481" s="100"/>
      <c r="E1481" s="100"/>
      <c r="F1481" s="268"/>
      <c r="G1481" s="268"/>
      <c r="H1481" s="102" t="s">
        <v>300</v>
      </c>
      <c r="I1481" s="103"/>
      <c r="J1481" s="103"/>
      <c r="K1481" s="380"/>
      <c r="L1481" s="269">
        <f>360000+2000</f>
        <v>362000</v>
      </c>
      <c r="M1481" s="269">
        <v>361788</v>
      </c>
      <c r="N1481" s="380">
        <f t="shared" si="221"/>
        <v>99.941436464088397</v>
      </c>
      <c r="O1481" s="105">
        <f t="shared" si="222"/>
        <v>362000</v>
      </c>
      <c r="P1481" s="105">
        <f t="shared" si="223"/>
        <v>361788</v>
      </c>
      <c r="Q1481" s="380">
        <f t="shared" si="224"/>
        <v>99.941436464088397</v>
      </c>
    </row>
    <row r="1482" spans="2:17" x14ac:dyDescent="0.2">
      <c r="B1482" s="18">
        <f t="shared" si="225"/>
        <v>120</v>
      </c>
      <c r="C1482" s="100"/>
      <c r="D1482" s="100"/>
      <c r="E1482" s="100"/>
      <c r="F1482" s="268"/>
      <c r="G1482" s="268"/>
      <c r="H1482" s="102" t="s">
        <v>576</v>
      </c>
      <c r="I1482" s="103"/>
      <c r="J1482" s="103"/>
      <c r="K1482" s="380"/>
      <c r="L1482" s="269">
        <v>7300</v>
      </c>
      <c r="M1482" s="269">
        <v>7296</v>
      </c>
      <c r="N1482" s="380">
        <f t="shared" si="221"/>
        <v>99.945205479452056</v>
      </c>
      <c r="O1482" s="105">
        <f t="shared" si="222"/>
        <v>7300</v>
      </c>
      <c r="P1482" s="105">
        <f t="shared" si="223"/>
        <v>7296</v>
      </c>
      <c r="Q1482" s="380">
        <f t="shared" si="224"/>
        <v>99.945205479452056</v>
      </c>
    </row>
    <row r="1483" spans="2:17" ht="24" x14ac:dyDescent="0.2">
      <c r="B1483" s="18">
        <f t="shared" si="225"/>
        <v>121</v>
      </c>
      <c r="C1483" s="100"/>
      <c r="D1483" s="100"/>
      <c r="E1483" s="100"/>
      <c r="F1483" s="268"/>
      <c r="G1483" s="268"/>
      <c r="H1483" s="102" t="s">
        <v>457</v>
      </c>
      <c r="I1483" s="103"/>
      <c r="J1483" s="103"/>
      <c r="K1483" s="380"/>
      <c r="L1483" s="269">
        <v>1000000</v>
      </c>
      <c r="M1483" s="269">
        <v>2191</v>
      </c>
      <c r="N1483" s="380">
        <f t="shared" si="221"/>
        <v>0.21909999999999999</v>
      </c>
      <c r="O1483" s="105">
        <f t="shared" si="222"/>
        <v>1000000</v>
      </c>
      <c r="P1483" s="105">
        <f t="shared" si="223"/>
        <v>2191</v>
      </c>
      <c r="Q1483" s="380">
        <f t="shared" si="224"/>
        <v>0.21909999999999999</v>
      </c>
    </row>
    <row r="1484" spans="2:17" ht="24" x14ac:dyDescent="0.2">
      <c r="B1484" s="18">
        <f t="shared" si="225"/>
        <v>122</v>
      </c>
      <c r="C1484" s="100"/>
      <c r="D1484" s="100"/>
      <c r="E1484" s="100"/>
      <c r="F1484" s="268"/>
      <c r="G1484" s="268"/>
      <c r="H1484" s="102" t="s">
        <v>656</v>
      </c>
      <c r="I1484" s="103"/>
      <c r="J1484" s="103"/>
      <c r="K1484" s="380"/>
      <c r="L1484" s="269">
        <v>10000</v>
      </c>
      <c r="M1484" s="269">
        <v>7346</v>
      </c>
      <c r="N1484" s="380">
        <f t="shared" si="221"/>
        <v>73.460000000000008</v>
      </c>
      <c r="O1484" s="105">
        <f t="shared" si="222"/>
        <v>10000</v>
      </c>
      <c r="P1484" s="105">
        <f t="shared" si="223"/>
        <v>7346</v>
      </c>
      <c r="Q1484" s="380">
        <f t="shared" si="224"/>
        <v>73.460000000000008</v>
      </c>
    </row>
    <row r="1485" spans="2:17" ht="24" x14ac:dyDescent="0.2">
      <c r="B1485" s="18">
        <f t="shared" si="225"/>
        <v>123</v>
      </c>
      <c r="C1485" s="100"/>
      <c r="D1485" s="100"/>
      <c r="E1485" s="100"/>
      <c r="F1485" s="268"/>
      <c r="G1485" s="268"/>
      <c r="H1485" s="102" t="s">
        <v>705</v>
      </c>
      <c r="I1485" s="103"/>
      <c r="J1485" s="103"/>
      <c r="K1485" s="380"/>
      <c r="L1485" s="269">
        <v>30000</v>
      </c>
      <c r="M1485" s="269">
        <v>27561</v>
      </c>
      <c r="N1485" s="380">
        <f t="shared" si="221"/>
        <v>91.86999999999999</v>
      </c>
      <c r="O1485" s="105">
        <f t="shared" si="222"/>
        <v>30000</v>
      </c>
      <c r="P1485" s="105">
        <f t="shared" si="223"/>
        <v>27561</v>
      </c>
      <c r="Q1485" s="380">
        <f t="shared" si="224"/>
        <v>91.86999999999999</v>
      </c>
    </row>
    <row r="1486" spans="2:17" x14ac:dyDescent="0.2">
      <c r="B1486" s="18">
        <f t="shared" si="225"/>
        <v>124</v>
      </c>
      <c r="C1486" s="100"/>
      <c r="D1486" s="100"/>
      <c r="E1486" s="100"/>
      <c r="F1486" s="268"/>
      <c r="G1486" s="268"/>
      <c r="H1486" s="102" t="s">
        <v>489</v>
      </c>
      <c r="I1486" s="103"/>
      <c r="J1486" s="103"/>
      <c r="K1486" s="380"/>
      <c r="L1486" s="269">
        <v>15000000</v>
      </c>
      <c r="M1486" s="269">
        <v>0</v>
      </c>
      <c r="N1486" s="380">
        <f t="shared" si="221"/>
        <v>0</v>
      </c>
      <c r="O1486" s="105">
        <f t="shared" si="222"/>
        <v>15000000</v>
      </c>
      <c r="P1486" s="105">
        <f t="shared" si="223"/>
        <v>0</v>
      </c>
      <c r="Q1486" s="380">
        <f t="shared" si="224"/>
        <v>0</v>
      </c>
    </row>
    <row r="1487" spans="2:17" s="122" customFormat="1" ht="15" x14ac:dyDescent="0.25">
      <c r="B1487" s="18">
        <f t="shared" si="225"/>
        <v>125</v>
      </c>
      <c r="C1487" s="176"/>
      <c r="D1487" s="176"/>
      <c r="E1487" s="176">
        <v>2</v>
      </c>
      <c r="F1487" s="177"/>
      <c r="G1487" s="177"/>
      <c r="H1487" s="176" t="s">
        <v>11</v>
      </c>
      <c r="I1487" s="178">
        <f>I1488+I1489+I1490+I1497</f>
        <v>181215</v>
      </c>
      <c r="J1487" s="178">
        <f>J1488+J1489+J1490+J1497</f>
        <v>156355</v>
      </c>
      <c r="K1487" s="361">
        <f t="shared" ref="K1487:K1497" si="226">J1487/I1487*100</f>
        <v>86.281488839224124</v>
      </c>
      <c r="L1487" s="178"/>
      <c r="M1487" s="178"/>
      <c r="N1487" s="361"/>
      <c r="O1487" s="179">
        <f t="shared" si="222"/>
        <v>181215</v>
      </c>
      <c r="P1487" s="179">
        <f t="shared" si="223"/>
        <v>156355</v>
      </c>
      <c r="Q1487" s="361">
        <f t="shared" si="224"/>
        <v>86.281488839224124</v>
      </c>
    </row>
    <row r="1488" spans="2:17" x14ac:dyDescent="0.2">
      <c r="B1488" s="18">
        <f t="shared" si="225"/>
        <v>126</v>
      </c>
      <c r="C1488" s="3"/>
      <c r="D1488" s="3"/>
      <c r="E1488" s="3"/>
      <c r="F1488" s="90" t="s">
        <v>192</v>
      </c>
      <c r="G1488" s="2">
        <v>610</v>
      </c>
      <c r="H1488" s="3" t="s">
        <v>131</v>
      </c>
      <c r="I1488" s="4">
        <v>47900</v>
      </c>
      <c r="J1488" s="4">
        <v>42137</v>
      </c>
      <c r="K1488" s="361">
        <f t="shared" si="226"/>
        <v>87.968684759916499</v>
      </c>
      <c r="L1488" s="4"/>
      <c r="M1488" s="4"/>
      <c r="N1488" s="361"/>
      <c r="O1488" s="92">
        <f t="shared" si="222"/>
        <v>47900</v>
      </c>
      <c r="P1488" s="92">
        <f t="shared" si="223"/>
        <v>42137</v>
      </c>
      <c r="Q1488" s="361">
        <f t="shared" si="224"/>
        <v>87.968684759916499</v>
      </c>
    </row>
    <row r="1489" spans="2:17" x14ac:dyDescent="0.2">
      <c r="B1489" s="18">
        <f t="shared" si="225"/>
        <v>127</v>
      </c>
      <c r="C1489" s="3"/>
      <c r="D1489" s="3"/>
      <c r="E1489" s="3"/>
      <c r="F1489" s="90" t="s">
        <v>192</v>
      </c>
      <c r="G1489" s="2">
        <v>620</v>
      </c>
      <c r="H1489" s="3" t="s">
        <v>124</v>
      </c>
      <c r="I1489" s="4">
        <v>20155</v>
      </c>
      <c r="J1489" s="4">
        <v>15723</v>
      </c>
      <c r="K1489" s="361">
        <f t="shared" si="226"/>
        <v>78.010419250806251</v>
      </c>
      <c r="L1489" s="4"/>
      <c r="M1489" s="4"/>
      <c r="N1489" s="361"/>
      <c r="O1489" s="92">
        <f t="shared" si="222"/>
        <v>20155</v>
      </c>
      <c r="P1489" s="92">
        <f t="shared" si="223"/>
        <v>15723</v>
      </c>
      <c r="Q1489" s="361">
        <f t="shared" si="224"/>
        <v>78.010419250806251</v>
      </c>
    </row>
    <row r="1490" spans="2:17" x14ac:dyDescent="0.2">
      <c r="B1490" s="18">
        <f t="shared" si="225"/>
        <v>128</v>
      </c>
      <c r="C1490" s="3"/>
      <c r="D1490" s="3"/>
      <c r="E1490" s="3"/>
      <c r="F1490" s="90" t="s">
        <v>192</v>
      </c>
      <c r="G1490" s="2">
        <v>630</v>
      </c>
      <c r="H1490" s="3" t="s">
        <v>121</v>
      </c>
      <c r="I1490" s="4">
        <f>I1496+I1495+I1494+I1493+I1492+I1491</f>
        <v>108080</v>
      </c>
      <c r="J1490" s="4">
        <f>J1496+J1495+J1494+J1493+J1492+J1491</f>
        <v>96356</v>
      </c>
      <c r="K1490" s="361">
        <f t="shared" si="226"/>
        <v>89.152479644707626</v>
      </c>
      <c r="L1490" s="4"/>
      <c r="M1490" s="4"/>
      <c r="N1490" s="361"/>
      <c r="O1490" s="92">
        <f t="shared" si="222"/>
        <v>108080</v>
      </c>
      <c r="P1490" s="92">
        <f t="shared" si="223"/>
        <v>96356</v>
      </c>
      <c r="Q1490" s="361">
        <f t="shared" si="224"/>
        <v>89.152479644707626</v>
      </c>
    </row>
    <row r="1491" spans="2:17" x14ac:dyDescent="0.2">
      <c r="B1491" s="18">
        <f t="shared" si="225"/>
        <v>129</v>
      </c>
      <c r="C1491" s="6"/>
      <c r="D1491" s="6"/>
      <c r="E1491" s="6"/>
      <c r="F1491" s="93"/>
      <c r="G1491" s="5">
        <v>632</v>
      </c>
      <c r="H1491" s="6" t="s">
        <v>134</v>
      </c>
      <c r="I1491" s="7">
        <f>2100+2000</f>
        <v>4100</v>
      </c>
      <c r="J1491" s="7">
        <v>2353</v>
      </c>
      <c r="K1491" s="361">
        <f t="shared" si="226"/>
        <v>57.390243902439018</v>
      </c>
      <c r="L1491" s="7"/>
      <c r="M1491" s="7"/>
      <c r="N1491" s="361"/>
      <c r="O1491" s="95">
        <f t="shared" ref="O1491:O1497" si="227">I1491+L1491</f>
        <v>4100</v>
      </c>
      <c r="P1491" s="95">
        <f t="shared" ref="P1491:P1497" si="228">J1491+M1491</f>
        <v>2353</v>
      </c>
      <c r="Q1491" s="361">
        <f t="shared" ref="Q1491:Q1497" si="229">P1491/O1491*100</f>
        <v>57.390243902439018</v>
      </c>
    </row>
    <row r="1492" spans="2:17" x14ac:dyDescent="0.2">
      <c r="B1492" s="18">
        <f t="shared" ref="B1492:B1497" si="230">B1491+1</f>
        <v>130</v>
      </c>
      <c r="C1492" s="6"/>
      <c r="D1492" s="6"/>
      <c r="E1492" s="6"/>
      <c r="F1492" s="93"/>
      <c r="G1492" s="5">
        <v>633</v>
      </c>
      <c r="H1492" s="6" t="s">
        <v>125</v>
      </c>
      <c r="I1492" s="7">
        <f>1000+53000+750+500-5425+5000</f>
        <v>54825</v>
      </c>
      <c r="J1492" s="7">
        <v>52456</v>
      </c>
      <c r="K1492" s="361">
        <f t="shared" si="226"/>
        <v>95.678978568171459</v>
      </c>
      <c r="L1492" s="7"/>
      <c r="M1492" s="7"/>
      <c r="N1492" s="361"/>
      <c r="O1492" s="95">
        <f t="shared" si="227"/>
        <v>54825</v>
      </c>
      <c r="P1492" s="95">
        <f t="shared" si="228"/>
        <v>52456</v>
      </c>
      <c r="Q1492" s="361">
        <f t="shared" si="229"/>
        <v>95.678978568171459</v>
      </c>
    </row>
    <row r="1493" spans="2:17" x14ac:dyDescent="0.2">
      <c r="B1493" s="18">
        <f t="shared" si="230"/>
        <v>131</v>
      </c>
      <c r="C1493" s="6"/>
      <c r="D1493" s="6"/>
      <c r="E1493" s="6"/>
      <c r="F1493" s="93"/>
      <c r="G1493" s="5">
        <v>634</v>
      </c>
      <c r="H1493" s="6" t="s">
        <v>132</v>
      </c>
      <c r="I1493" s="7">
        <v>2500</v>
      </c>
      <c r="J1493" s="7">
        <v>2411</v>
      </c>
      <c r="K1493" s="361">
        <f t="shared" si="226"/>
        <v>96.44</v>
      </c>
      <c r="L1493" s="7"/>
      <c r="M1493" s="7"/>
      <c r="N1493" s="361"/>
      <c r="O1493" s="95">
        <f t="shared" si="227"/>
        <v>2500</v>
      </c>
      <c r="P1493" s="95">
        <f t="shared" si="228"/>
        <v>2411</v>
      </c>
      <c r="Q1493" s="361">
        <f t="shared" si="229"/>
        <v>96.44</v>
      </c>
    </row>
    <row r="1494" spans="2:17" x14ac:dyDescent="0.2">
      <c r="B1494" s="18">
        <f t="shared" si="230"/>
        <v>132</v>
      </c>
      <c r="C1494" s="6"/>
      <c r="D1494" s="6"/>
      <c r="E1494" s="6"/>
      <c r="F1494" s="93"/>
      <c r="G1494" s="5">
        <v>635</v>
      </c>
      <c r="H1494" s="6" t="s">
        <v>133</v>
      </c>
      <c r="I1494" s="7">
        <f>200+30000</f>
        <v>30200</v>
      </c>
      <c r="J1494" s="7">
        <v>27345</v>
      </c>
      <c r="K1494" s="361">
        <f t="shared" si="226"/>
        <v>90.546357615894038</v>
      </c>
      <c r="L1494" s="7"/>
      <c r="M1494" s="7"/>
      <c r="N1494" s="361"/>
      <c r="O1494" s="95">
        <f t="shared" si="227"/>
        <v>30200</v>
      </c>
      <c r="P1494" s="95">
        <f t="shared" si="228"/>
        <v>27345</v>
      </c>
      <c r="Q1494" s="361">
        <f t="shared" si="229"/>
        <v>90.546357615894038</v>
      </c>
    </row>
    <row r="1495" spans="2:17" x14ac:dyDescent="0.2">
      <c r="B1495" s="18">
        <f t="shared" si="230"/>
        <v>133</v>
      </c>
      <c r="C1495" s="6"/>
      <c r="D1495" s="6"/>
      <c r="E1495" s="6"/>
      <c r="F1495" s="93"/>
      <c r="G1495" s="5">
        <v>636</v>
      </c>
      <c r="H1495" s="6" t="s">
        <v>126</v>
      </c>
      <c r="I1495" s="7">
        <v>1500</v>
      </c>
      <c r="J1495" s="7">
        <v>612</v>
      </c>
      <c r="K1495" s="361">
        <f t="shared" si="226"/>
        <v>40.799999999999997</v>
      </c>
      <c r="L1495" s="7"/>
      <c r="M1495" s="7"/>
      <c r="N1495" s="361"/>
      <c r="O1495" s="95">
        <f t="shared" si="227"/>
        <v>1500</v>
      </c>
      <c r="P1495" s="95">
        <f t="shared" si="228"/>
        <v>612</v>
      </c>
      <c r="Q1495" s="361">
        <f t="shared" si="229"/>
        <v>40.799999999999997</v>
      </c>
    </row>
    <row r="1496" spans="2:17" x14ac:dyDescent="0.2">
      <c r="B1496" s="18">
        <f t="shared" si="230"/>
        <v>134</v>
      </c>
      <c r="C1496" s="6"/>
      <c r="D1496" s="6"/>
      <c r="E1496" s="6"/>
      <c r="F1496" s="93"/>
      <c r="G1496" s="5">
        <v>637</v>
      </c>
      <c r="H1496" s="6" t="s">
        <v>122</v>
      </c>
      <c r="I1496" s="7">
        <f>150+3130+925+250+3500+1000+6000</f>
        <v>14955</v>
      </c>
      <c r="J1496" s="7">
        <v>11179</v>
      </c>
      <c r="K1496" s="361">
        <f t="shared" si="226"/>
        <v>74.750919424941486</v>
      </c>
      <c r="L1496" s="7"/>
      <c r="M1496" s="7"/>
      <c r="N1496" s="361"/>
      <c r="O1496" s="95">
        <f t="shared" si="227"/>
        <v>14955</v>
      </c>
      <c r="P1496" s="95">
        <f t="shared" si="228"/>
        <v>11179</v>
      </c>
      <c r="Q1496" s="361">
        <f t="shared" si="229"/>
        <v>74.750919424941486</v>
      </c>
    </row>
    <row r="1497" spans="2:17" x14ac:dyDescent="0.2">
      <c r="B1497" s="18">
        <f t="shared" si="230"/>
        <v>135</v>
      </c>
      <c r="C1497" s="3"/>
      <c r="D1497" s="3"/>
      <c r="E1497" s="3"/>
      <c r="F1497" s="90" t="s">
        <v>192</v>
      </c>
      <c r="G1497" s="2">
        <v>640</v>
      </c>
      <c r="H1497" s="3" t="s">
        <v>129</v>
      </c>
      <c r="I1497" s="4">
        <f>2280+2100+700</f>
        <v>5080</v>
      </c>
      <c r="J1497" s="4">
        <v>2139</v>
      </c>
      <c r="K1497" s="361">
        <f t="shared" si="226"/>
        <v>42.106299212598422</v>
      </c>
      <c r="L1497" s="4"/>
      <c r="M1497" s="4"/>
      <c r="N1497" s="361"/>
      <c r="O1497" s="92">
        <f t="shared" si="227"/>
        <v>5080</v>
      </c>
      <c r="P1497" s="92">
        <f t="shared" si="228"/>
        <v>2139</v>
      </c>
      <c r="Q1497" s="361">
        <f t="shared" si="229"/>
        <v>42.106299212598422</v>
      </c>
    </row>
    <row r="1498" spans="2:17" x14ac:dyDescent="0.2">
      <c r="B1498" s="1"/>
      <c r="F1498" s="1"/>
      <c r="G1498" s="1"/>
      <c r="I1498" s="1"/>
      <c r="J1498" s="1"/>
      <c r="K1498" s="1"/>
      <c r="L1498" s="1"/>
      <c r="M1498" s="1"/>
      <c r="N1498" s="1"/>
      <c r="O1498" s="1"/>
    </row>
    <row r="1499" spans="2:17" x14ac:dyDescent="0.2">
      <c r="B1499" s="1"/>
      <c r="F1499" s="1"/>
      <c r="G1499" s="1"/>
      <c r="I1499" s="1"/>
      <c r="J1499" s="1"/>
      <c r="K1499" s="1"/>
      <c r="L1499" s="1"/>
      <c r="M1499" s="1"/>
      <c r="N1499" s="1"/>
      <c r="O1499" s="1"/>
    </row>
    <row r="1500" spans="2:17" x14ac:dyDescent="0.2">
      <c r="B1500" s="1"/>
      <c r="F1500" s="1"/>
      <c r="G1500" s="1"/>
      <c r="I1500" s="1"/>
      <c r="J1500" s="1"/>
      <c r="K1500" s="1"/>
      <c r="L1500" s="1"/>
      <c r="M1500" s="1"/>
      <c r="N1500" s="1"/>
      <c r="O1500" s="1"/>
    </row>
    <row r="1501" spans="2:17" ht="27.75" x14ac:dyDescent="0.4">
      <c r="B1501" s="499" t="s">
        <v>21</v>
      </c>
      <c r="C1501" s="500"/>
      <c r="D1501" s="500"/>
      <c r="E1501" s="500"/>
      <c r="F1501" s="500"/>
      <c r="G1501" s="500"/>
      <c r="H1501" s="500"/>
      <c r="I1501" s="500"/>
      <c r="J1501" s="500"/>
      <c r="K1501" s="500"/>
      <c r="L1501" s="500"/>
      <c r="M1501" s="500"/>
      <c r="N1501" s="500"/>
      <c r="O1501" s="500"/>
    </row>
    <row r="1502" spans="2:17" ht="15" customHeight="1" x14ac:dyDescent="0.35">
      <c r="B1502" s="509" t="s">
        <v>418</v>
      </c>
      <c r="C1502" s="510"/>
      <c r="D1502" s="510"/>
      <c r="E1502" s="510"/>
      <c r="F1502" s="510"/>
      <c r="G1502" s="510"/>
      <c r="H1502" s="510"/>
      <c r="I1502" s="510"/>
      <c r="J1502" s="510"/>
      <c r="K1502" s="511"/>
      <c r="L1502" s="510"/>
      <c r="M1502" s="510"/>
      <c r="N1502" s="511"/>
      <c r="O1502" s="501" t="s">
        <v>741</v>
      </c>
      <c r="P1502" s="512" t="s">
        <v>739</v>
      </c>
      <c r="Q1502" s="514" t="s">
        <v>738</v>
      </c>
    </row>
    <row r="1503" spans="2:17" ht="12.75" customHeight="1" x14ac:dyDescent="0.2">
      <c r="B1503" s="503"/>
      <c r="C1503" s="504" t="s">
        <v>114</v>
      </c>
      <c r="D1503" s="504" t="s">
        <v>115</v>
      </c>
      <c r="E1503" s="504"/>
      <c r="F1503" s="504" t="s">
        <v>116</v>
      </c>
      <c r="G1503" s="506" t="s">
        <v>117</v>
      </c>
      <c r="H1503" s="507" t="s">
        <v>118</v>
      </c>
      <c r="I1503" s="508" t="s">
        <v>742</v>
      </c>
      <c r="J1503" s="508" t="s">
        <v>744</v>
      </c>
      <c r="K1503" s="517" t="s">
        <v>738</v>
      </c>
      <c r="L1503" s="505" t="s">
        <v>743</v>
      </c>
      <c r="M1503" s="508" t="s">
        <v>745</v>
      </c>
      <c r="N1503" s="520" t="s">
        <v>738</v>
      </c>
      <c r="O1503" s="502"/>
      <c r="P1503" s="513"/>
      <c r="Q1503" s="515"/>
    </row>
    <row r="1504" spans="2:17" ht="12.75" customHeight="1" x14ac:dyDescent="0.2">
      <c r="B1504" s="503"/>
      <c r="C1504" s="504"/>
      <c r="D1504" s="504"/>
      <c r="E1504" s="504"/>
      <c r="F1504" s="504"/>
      <c r="G1504" s="506"/>
      <c r="H1504" s="507"/>
      <c r="I1504" s="508"/>
      <c r="J1504" s="508"/>
      <c r="K1504" s="518"/>
      <c r="L1504" s="505"/>
      <c r="M1504" s="508"/>
      <c r="N1504" s="521"/>
      <c r="O1504" s="502"/>
      <c r="P1504" s="513"/>
      <c r="Q1504" s="515"/>
    </row>
    <row r="1505" spans="2:17" ht="12.75" customHeight="1" x14ac:dyDescent="0.2">
      <c r="B1505" s="503"/>
      <c r="C1505" s="504"/>
      <c r="D1505" s="504"/>
      <c r="E1505" s="504"/>
      <c r="F1505" s="504"/>
      <c r="G1505" s="506"/>
      <c r="H1505" s="507"/>
      <c r="I1505" s="508"/>
      <c r="J1505" s="508"/>
      <c r="K1505" s="518"/>
      <c r="L1505" s="505"/>
      <c r="M1505" s="508"/>
      <c r="N1505" s="521"/>
      <c r="O1505" s="502"/>
      <c r="P1505" s="513"/>
      <c r="Q1505" s="515"/>
    </row>
    <row r="1506" spans="2:17" ht="12.75" customHeight="1" x14ac:dyDescent="0.2">
      <c r="B1506" s="503"/>
      <c r="C1506" s="504"/>
      <c r="D1506" s="504"/>
      <c r="E1506" s="504"/>
      <c r="F1506" s="504"/>
      <c r="G1506" s="506"/>
      <c r="H1506" s="507"/>
      <c r="I1506" s="508"/>
      <c r="J1506" s="508"/>
      <c r="K1506" s="519"/>
      <c r="L1506" s="505"/>
      <c r="M1506" s="508"/>
      <c r="N1506" s="521"/>
      <c r="O1506" s="502"/>
      <c r="P1506" s="513"/>
      <c r="Q1506" s="516"/>
    </row>
    <row r="1507" spans="2:17" ht="15.75" x14ac:dyDescent="0.2">
      <c r="B1507" s="18">
        <v>1</v>
      </c>
      <c r="C1507" s="493" t="s">
        <v>21</v>
      </c>
      <c r="D1507" s="494"/>
      <c r="E1507" s="494"/>
      <c r="F1507" s="494"/>
      <c r="G1507" s="494"/>
      <c r="H1507" s="494"/>
      <c r="I1507" s="80">
        <f>I1548+I1531+I1526+I1508+I1569</f>
        <v>2951370</v>
      </c>
      <c r="J1507" s="80">
        <f>J1548+J1531+J1526+J1508+J1569</f>
        <v>2317237</v>
      </c>
      <c r="K1507" s="361">
        <f t="shared" ref="K1507:K1538" si="231">J1507/I1507*100</f>
        <v>78.513944371596921</v>
      </c>
      <c r="L1507" s="80">
        <f>L1548+L1531+L1526+L1508+L1569</f>
        <v>11471201</v>
      </c>
      <c r="M1507" s="80">
        <f>M1548+M1531+M1526+M1508+M1569</f>
        <v>222126</v>
      </c>
      <c r="N1507" s="361">
        <f>M1507/L1507*100</f>
        <v>1.9363796345299851</v>
      </c>
      <c r="O1507" s="81">
        <f t="shared" ref="O1507:O1538" si="232">I1507+L1507</f>
        <v>14422571</v>
      </c>
      <c r="P1507" s="81">
        <f t="shared" ref="P1507:P1538" si="233">J1507+M1507</f>
        <v>2539363</v>
      </c>
      <c r="Q1507" s="361">
        <f t="shared" ref="Q1507:Q1538" si="234">P1507/O1507*100</f>
        <v>17.60686773530184</v>
      </c>
    </row>
    <row r="1508" spans="2:17" ht="15" x14ac:dyDescent="0.2">
      <c r="B1508" s="18">
        <f t="shared" ref="B1508:B1539" si="235">B1507+1</f>
        <v>2</v>
      </c>
      <c r="C1508" s="82">
        <v>1</v>
      </c>
      <c r="D1508" s="495" t="s">
        <v>228</v>
      </c>
      <c r="E1508" s="496"/>
      <c r="F1508" s="496"/>
      <c r="G1508" s="496"/>
      <c r="H1508" s="496"/>
      <c r="I1508" s="83">
        <f>I1509</f>
        <v>216600</v>
      </c>
      <c r="J1508" s="83">
        <f>J1509</f>
        <v>214750</v>
      </c>
      <c r="K1508" s="361">
        <f t="shared" si="231"/>
        <v>99.145891043397967</v>
      </c>
      <c r="L1508" s="83"/>
      <c r="M1508" s="83"/>
      <c r="N1508" s="361"/>
      <c r="O1508" s="99">
        <f t="shared" si="232"/>
        <v>216600</v>
      </c>
      <c r="P1508" s="99">
        <f t="shared" si="233"/>
        <v>214750</v>
      </c>
      <c r="Q1508" s="361">
        <f t="shared" si="234"/>
        <v>99.145891043397967</v>
      </c>
    </row>
    <row r="1509" spans="2:17" x14ac:dyDescent="0.2">
      <c r="B1509" s="18">
        <f t="shared" si="235"/>
        <v>3</v>
      </c>
      <c r="C1509" s="3"/>
      <c r="D1509" s="3"/>
      <c r="E1509" s="3"/>
      <c r="F1509" s="90" t="s">
        <v>74</v>
      </c>
      <c r="G1509" s="2">
        <v>640</v>
      </c>
      <c r="H1509" s="3" t="s">
        <v>129</v>
      </c>
      <c r="I1509" s="4">
        <f>SUM(I1510:I1525)</f>
        <v>216600</v>
      </c>
      <c r="J1509" s="4">
        <f>SUM(J1510:J1525)</f>
        <v>214750</v>
      </c>
      <c r="K1509" s="361">
        <f t="shared" si="231"/>
        <v>99.145891043397967</v>
      </c>
      <c r="L1509" s="4"/>
      <c r="M1509" s="4"/>
      <c r="N1509" s="361"/>
      <c r="O1509" s="92">
        <f t="shared" si="232"/>
        <v>216600</v>
      </c>
      <c r="P1509" s="92">
        <f t="shared" si="233"/>
        <v>214750</v>
      </c>
      <c r="Q1509" s="361">
        <f t="shared" si="234"/>
        <v>99.145891043397967</v>
      </c>
    </row>
    <row r="1510" spans="2:17" x14ac:dyDescent="0.2">
      <c r="B1510" s="18">
        <f t="shared" si="235"/>
        <v>4</v>
      </c>
      <c r="C1510" s="67"/>
      <c r="D1510" s="67"/>
      <c r="E1510" s="67"/>
      <c r="F1510" s="8"/>
      <c r="G1510" s="8"/>
      <c r="H1510" s="9" t="s">
        <v>263</v>
      </c>
      <c r="I1510" s="10">
        <f>58000-1350-1050-2800</f>
        <v>52800</v>
      </c>
      <c r="J1510" s="10">
        <f>86950-36000</f>
        <v>50950</v>
      </c>
      <c r="K1510" s="361">
        <f t="shared" si="231"/>
        <v>96.496212121212125</v>
      </c>
      <c r="L1510" s="11"/>
      <c r="M1510" s="11"/>
      <c r="N1510" s="361"/>
      <c r="O1510" s="209">
        <f t="shared" si="232"/>
        <v>52800</v>
      </c>
      <c r="P1510" s="209">
        <f t="shared" si="233"/>
        <v>50950</v>
      </c>
      <c r="Q1510" s="361">
        <f t="shared" si="234"/>
        <v>96.496212121212125</v>
      </c>
    </row>
    <row r="1511" spans="2:17" ht="24" x14ac:dyDescent="0.2">
      <c r="B1511" s="18">
        <f t="shared" si="235"/>
        <v>5</v>
      </c>
      <c r="C1511" s="100"/>
      <c r="D1511" s="100"/>
      <c r="E1511" s="100"/>
      <c r="F1511" s="268"/>
      <c r="G1511" s="268"/>
      <c r="H1511" s="102" t="s">
        <v>585</v>
      </c>
      <c r="I1511" s="103">
        <v>1200</v>
      </c>
      <c r="J1511" s="103">
        <v>1200</v>
      </c>
      <c r="K1511" s="380">
        <f t="shared" si="231"/>
        <v>100</v>
      </c>
      <c r="L1511" s="269"/>
      <c r="M1511" s="269"/>
      <c r="N1511" s="380"/>
      <c r="O1511" s="395">
        <f t="shared" si="232"/>
        <v>1200</v>
      </c>
      <c r="P1511" s="395">
        <f t="shared" si="233"/>
        <v>1200</v>
      </c>
      <c r="Q1511" s="380">
        <f t="shared" si="234"/>
        <v>100</v>
      </c>
    </row>
    <row r="1512" spans="2:17" x14ac:dyDescent="0.2">
      <c r="B1512" s="18">
        <f t="shared" si="235"/>
        <v>6</v>
      </c>
      <c r="C1512" s="100"/>
      <c r="D1512" s="100"/>
      <c r="E1512" s="100"/>
      <c r="F1512" s="268"/>
      <c r="G1512" s="268"/>
      <c r="H1512" s="102" t="s">
        <v>693</v>
      </c>
      <c r="I1512" s="103">
        <v>5800</v>
      </c>
      <c r="J1512" s="103">
        <v>5800</v>
      </c>
      <c r="K1512" s="380">
        <f t="shared" si="231"/>
        <v>100</v>
      </c>
      <c r="L1512" s="269"/>
      <c r="M1512" s="269"/>
      <c r="N1512" s="380"/>
      <c r="O1512" s="395">
        <f t="shared" si="232"/>
        <v>5800</v>
      </c>
      <c r="P1512" s="395">
        <f t="shared" si="233"/>
        <v>5800</v>
      </c>
      <c r="Q1512" s="380">
        <f t="shared" si="234"/>
        <v>100</v>
      </c>
    </row>
    <row r="1513" spans="2:17" s="122" customFormat="1" x14ac:dyDescent="0.2">
      <c r="B1513" s="18">
        <f t="shared" si="235"/>
        <v>7</v>
      </c>
      <c r="C1513" s="100"/>
      <c r="D1513" s="100"/>
      <c r="E1513" s="100"/>
      <c r="F1513" s="268"/>
      <c r="G1513" s="268"/>
      <c r="H1513" s="381" t="s">
        <v>360</v>
      </c>
      <c r="I1513" s="103">
        <v>10000</v>
      </c>
      <c r="J1513" s="103">
        <v>10000</v>
      </c>
      <c r="K1513" s="380">
        <f t="shared" si="231"/>
        <v>100</v>
      </c>
      <c r="L1513" s="269"/>
      <c r="M1513" s="269"/>
      <c r="N1513" s="380"/>
      <c r="O1513" s="395">
        <f t="shared" si="232"/>
        <v>10000</v>
      </c>
      <c r="P1513" s="395">
        <f t="shared" si="233"/>
        <v>10000</v>
      </c>
      <c r="Q1513" s="380">
        <f t="shared" si="234"/>
        <v>100</v>
      </c>
    </row>
    <row r="1514" spans="2:17" x14ac:dyDescent="0.2">
      <c r="B1514" s="18">
        <f t="shared" si="235"/>
        <v>8</v>
      </c>
      <c r="C1514" s="100"/>
      <c r="D1514" s="100"/>
      <c r="E1514" s="100"/>
      <c r="F1514" s="268"/>
      <c r="G1514" s="268"/>
      <c r="H1514" s="381" t="s">
        <v>338</v>
      </c>
      <c r="I1514" s="103">
        <v>7000</v>
      </c>
      <c r="J1514" s="103">
        <v>7000</v>
      </c>
      <c r="K1514" s="380">
        <f t="shared" si="231"/>
        <v>100</v>
      </c>
      <c r="L1514" s="269"/>
      <c r="M1514" s="269"/>
      <c r="N1514" s="380"/>
      <c r="O1514" s="395">
        <f t="shared" si="232"/>
        <v>7000</v>
      </c>
      <c r="P1514" s="395">
        <f t="shared" si="233"/>
        <v>7000</v>
      </c>
      <c r="Q1514" s="380">
        <f t="shared" si="234"/>
        <v>100</v>
      </c>
    </row>
    <row r="1515" spans="2:17" x14ac:dyDescent="0.2">
      <c r="B1515" s="18">
        <f t="shared" si="235"/>
        <v>9</v>
      </c>
      <c r="C1515" s="100"/>
      <c r="D1515" s="100"/>
      <c r="E1515" s="100"/>
      <c r="F1515" s="268"/>
      <c r="G1515" s="268"/>
      <c r="H1515" s="381" t="s">
        <v>496</v>
      </c>
      <c r="I1515" s="103">
        <v>25000</v>
      </c>
      <c r="J1515" s="103">
        <v>25000</v>
      </c>
      <c r="K1515" s="380">
        <f t="shared" si="231"/>
        <v>100</v>
      </c>
      <c r="L1515" s="269"/>
      <c r="M1515" s="269"/>
      <c r="N1515" s="380"/>
      <c r="O1515" s="395">
        <f t="shared" si="232"/>
        <v>25000</v>
      </c>
      <c r="P1515" s="395">
        <f t="shared" si="233"/>
        <v>25000</v>
      </c>
      <c r="Q1515" s="380">
        <f t="shared" si="234"/>
        <v>100</v>
      </c>
    </row>
    <row r="1516" spans="2:17" x14ac:dyDescent="0.2">
      <c r="B1516" s="18">
        <f t="shared" si="235"/>
        <v>10</v>
      </c>
      <c r="C1516" s="100"/>
      <c r="D1516" s="100"/>
      <c r="E1516" s="100"/>
      <c r="F1516" s="268"/>
      <c r="G1516" s="268"/>
      <c r="H1516" s="381" t="s">
        <v>458</v>
      </c>
      <c r="I1516" s="103">
        <f>5000+5000</f>
        <v>10000</v>
      </c>
      <c r="J1516" s="103">
        <v>10000</v>
      </c>
      <c r="K1516" s="380">
        <f t="shared" si="231"/>
        <v>100</v>
      </c>
      <c r="L1516" s="269"/>
      <c r="M1516" s="269"/>
      <c r="N1516" s="380"/>
      <c r="O1516" s="395">
        <f t="shared" si="232"/>
        <v>10000</v>
      </c>
      <c r="P1516" s="395">
        <f t="shared" si="233"/>
        <v>10000</v>
      </c>
      <c r="Q1516" s="380">
        <f t="shared" si="234"/>
        <v>100</v>
      </c>
    </row>
    <row r="1517" spans="2:17" ht="24" x14ac:dyDescent="0.2">
      <c r="B1517" s="18">
        <f t="shared" si="235"/>
        <v>11</v>
      </c>
      <c r="C1517" s="100"/>
      <c r="D1517" s="100"/>
      <c r="E1517" s="100"/>
      <c r="F1517" s="268"/>
      <c r="G1517" s="268"/>
      <c r="H1517" s="102" t="s">
        <v>497</v>
      </c>
      <c r="I1517" s="103">
        <v>6000</v>
      </c>
      <c r="J1517" s="103">
        <v>6000</v>
      </c>
      <c r="K1517" s="380">
        <f t="shared" si="231"/>
        <v>100</v>
      </c>
      <c r="L1517" s="269"/>
      <c r="M1517" s="269"/>
      <c r="N1517" s="380"/>
      <c r="O1517" s="395">
        <f t="shared" si="232"/>
        <v>6000</v>
      </c>
      <c r="P1517" s="395">
        <f t="shared" si="233"/>
        <v>6000</v>
      </c>
      <c r="Q1517" s="380">
        <f t="shared" si="234"/>
        <v>100</v>
      </c>
    </row>
    <row r="1518" spans="2:17" ht="36" x14ac:dyDescent="0.2">
      <c r="B1518" s="18">
        <f t="shared" si="235"/>
        <v>12</v>
      </c>
      <c r="C1518" s="100"/>
      <c r="D1518" s="100"/>
      <c r="E1518" s="100"/>
      <c r="F1518" s="268"/>
      <c r="G1518" s="268"/>
      <c r="H1518" s="102" t="s">
        <v>669</v>
      </c>
      <c r="I1518" s="103">
        <v>1650</v>
      </c>
      <c r="J1518" s="103">
        <v>1650</v>
      </c>
      <c r="K1518" s="380">
        <f t="shared" si="231"/>
        <v>100</v>
      </c>
      <c r="L1518" s="269"/>
      <c r="M1518" s="269"/>
      <c r="N1518" s="380"/>
      <c r="O1518" s="395">
        <f t="shared" si="232"/>
        <v>1650</v>
      </c>
      <c r="P1518" s="395">
        <f t="shared" si="233"/>
        <v>1650</v>
      </c>
      <c r="Q1518" s="380">
        <f t="shared" si="234"/>
        <v>100</v>
      </c>
    </row>
    <row r="1519" spans="2:17" x14ac:dyDescent="0.2">
      <c r="B1519" s="18">
        <f t="shared" si="235"/>
        <v>13</v>
      </c>
      <c r="C1519" s="100"/>
      <c r="D1519" s="100"/>
      <c r="E1519" s="100"/>
      <c r="F1519" s="268"/>
      <c r="G1519" s="268"/>
      <c r="H1519" s="381" t="s">
        <v>361</v>
      </c>
      <c r="I1519" s="103">
        <v>7000</v>
      </c>
      <c r="J1519" s="103">
        <v>7000</v>
      </c>
      <c r="K1519" s="380">
        <f t="shared" si="231"/>
        <v>100</v>
      </c>
      <c r="L1519" s="269"/>
      <c r="M1519" s="269"/>
      <c r="N1519" s="380"/>
      <c r="O1519" s="395">
        <f t="shared" si="232"/>
        <v>7000</v>
      </c>
      <c r="P1519" s="395">
        <f t="shared" si="233"/>
        <v>7000</v>
      </c>
      <c r="Q1519" s="380">
        <f t="shared" si="234"/>
        <v>100</v>
      </c>
    </row>
    <row r="1520" spans="2:17" x14ac:dyDescent="0.2">
      <c r="B1520" s="18">
        <f t="shared" si="235"/>
        <v>14</v>
      </c>
      <c r="C1520" s="100"/>
      <c r="D1520" s="100"/>
      <c r="E1520" s="100"/>
      <c r="F1520" s="268"/>
      <c r="G1520" s="268"/>
      <c r="H1520" s="381" t="s">
        <v>266</v>
      </c>
      <c r="I1520" s="103">
        <v>35000</v>
      </c>
      <c r="J1520" s="103">
        <v>35000</v>
      </c>
      <c r="K1520" s="380">
        <f t="shared" si="231"/>
        <v>100</v>
      </c>
      <c r="L1520" s="269"/>
      <c r="M1520" s="269"/>
      <c r="N1520" s="380"/>
      <c r="O1520" s="395">
        <f t="shared" si="232"/>
        <v>35000</v>
      </c>
      <c r="P1520" s="395">
        <f t="shared" si="233"/>
        <v>35000</v>
      </c>
      <c r="Q1520" s="380">
        <f t="shared" si="234"/>
        <v>100</v>
      </c>
    </row>
    <row r="1521" spans="2:17" ht="24" x14ac:dyDescent="0.2">
      <c r="B1521" s="18">
        <f t="shared" si="235"/>
        <v>15</v>
      </c>
      <c r="C1521" s="100"/>
      <c r="D1521" s="100"/>
      <c r="E1521" s="100"/>
      <c r="F1521" s="268"/>
      <c r="G1521" s="268"/>
      <c r="H1521" s="102" t="s">
        <v>676</v>
      </c>
      <c r="I1521" s="103">
        <v>10000</v>
      </c>
      <c r="J1521" s="103">
        <v>10000</v>
      </c>
      <c r="K1521" s="380">
        <f t="shared" si="231"/>
        <v>100</v>
      </c>
      <c r="L1521" s="269"/>
      <c r="M1521" s="269"/>
      <c r="N1521" s="380"/>
      <c r="O1521" s="395">
        <f t="shared" si="232"/>
        <v>10000</v>
      </c>
      <c r="P1521" s="395">
        <f t="shared" si="233"/>
        <v>10000</v>
      </c>
      <c r="Q1521" s="380">
        <f t="shared" si="234"/>
        <v>100</v>
      </c>
    </row>
    <row r="1522" spans="2:17" x14ac:dyDescent="0.2">
      <c r="B1522" s="18">
        <f t="shared" si="235"/>
        <v>16</v>
      </c>
      <c r="C1522" s="100"/>
      <c r="D1522" s="100"/>
      <c r="E1522" s="100"/>
      <c r="F1522" s="268"/>
      <c r="G1522" s="268"/>
      <c r="H1522" s="381" t="s">
        <v>339</v>
      </c>
      <c r="I1522" s="103">
        <f>20000+20000</f>
        <v>40000</v>
      </c>
      <c r="J1522" s="103">
        <v>40000</v>
      </c>
      <c r="K1522" s="380">
        <f t="shared" si="231"/>
        <v>100</v>
      </c>
      <c r="L1522" s="269"/>
      <c r="M1522" s="269"/>
      <c r="N1522" s="380"/>
      <c r="O1522" s="395">
        <f t="shared" si="232"/>
        <v>40000</v>
      </c>
      <c r="P1522" s="395">
        <f t="shared" si="233"/>
        <v>40000</v>
      </c>
      <c r="Q1522" s="380">
        <f t="shared" si="234"/>
        <v>100</v>
      </c>
    </row>
    <row r="1523" spans="2:17" x14ac:dyDescent="0.2">
      <c r="B1523" s="18">
        <f t="shared" si="235"/>
        <v>17</v>
      </c>
      <c r="C1523" s="100"/>
      <c r="D1523" s="100"/>
      <c r="E1523" s="100"/>
      <c r="F1523" s="268"/>
      <c r="G1523" s="268"/>
      <c r="H1523" s="381" t="s">
        <v>587</v>
      </c>
      <c r="I1523" s="103">
        <v>1150</v>
      </c>
      <c r="J1523" s="103">
        <v>1150</v>
      </c>
      <c r="K1523" s="380">
        <f t="shared" si="231"/>
        <v>100</v>
      </c>
      <c r="L1523" s="269"/>
      <c r="M1523" s="269"/>
      <c r="N1523" s="380"/>
      <c r="O1523" s="395">
        <f t="shared" si="232"/>
        <v>1150</v>
      </c>
      <c r="P1523" s="395">
        <f t="shared" si="233"/>
        <v>1150</v>
      </c>
      <c r="Q1523" s="380">
        <f t="shared" si="234"/>
        <v>100</v>
      </c>
    </row>
    <row r="1524" spans="2:17" ht="24" x14ac:dyDescent="0.2">
      <c r="B1524" s="18">
        <f t="shared" si="235"/>
        <v>18</v>
      </c>
      <c r="C1524" s="100"/>
      <c r="D1524" s="100"/>
      <c r="E1524" s="100"/>
      <c r="F1524" s="268"/>
      <c r="G1524" s="268"/>
      <c r="H1524" s="102" t="s">
        <v>651</v>
      </c>
      <c r="I1524" s="103">
        <v>2500</v>
      </c>
      <c r="J1524" s="103">
        <v>2500</v>
      </c>
      <c r="K1524" s="380">
        <f t="shared" si="231"/>
        <v>100</v>
      </c>
      <c r="L1524" s="269"/>
      <c r="M1524" s="269"/>
      <c r="N1524" s="380"/>
      <c r="O1524" s="395">
        <f t="shared" si="232"/>
        <v>2500</v>
      </c>
      <c r="P1524" s="395">
        <f t="shared" si="233"/>
        <v>2500</v>
      </c>
      <c r="Q1524" s="380">
        <f t="shared" si="234"/>
        <v>100</v>
      </c>
    </row>
    <row r="1525" spans="2:17" ht="36" x14ac:dyDescent="0.2">
      <c r="B1525" s="18">
        <f t="shared" si="235"/>
        <v>19</v>
      </c>
      <c r="C1525" s="100"/>
      <c r="D1525" s="100"/>
      <c r="E1525" s="100"/>
      <c r="F1525" s="268"/>
      <c r="G1525" s="268"/>
      <c r="H1525" s="102" t="s">
        <v>586</v>
      </c>
      <c r="I1525" s="103">
        <v>1500</v>
      </c>
      <c r="J1525" s="103">
        <v>1500</v>
      </c>
      <c r="K1525" s="380">
        <f t="shared" si="231"/>
        <v>100</v>
      </c>
      <c r="L1525" s="269"/>
      <c r="M1525" s="269"/>
      <c r="N1525" s="380"/>
      <c r="O1525" s="395">
        <f t="shared" si="232"/>
        <v>1500</v>
      </c>
      <c r="P1525" s="395">
        <f t="shared" si="233"/>
        <v>1500</v>
      </c>
      <c r="Q1525" s="380">
        <f t="shared" si="234"/>
        <v>100</v>
      </c>
    </row>
    <row r="1526" spans="2:17" ht="15" x14ac:dyDescent="0.2">
      <c r="B1526" s="18">
        <f t="shared" si="235"/>
        <v>20</v>
      </c>
      <c r="C1526" s="82">
        <v>2</v>
      </c>
      <c r="D1526" s="495" t="s">
        <v>171</v>
      </c>
      <c r="E1526" s="496"/>
      <c r="F1526" s="496"/>
      <c r="G1526" s="496"/>
      <c r="H1526" s="496"/>
      <c r="I1526" s="83">
        <f>I1527</f>
        <v>864000</v>
      </c>
      <c r="J1526" s="83">
        <f>J1527</f>
        <v>653576</v>
      </c>
      <c r="K1526" s="361">
        <f t="shared" si="231"/>
        <v>75.645370370370372</v>
      </c>
      <c r="L1526" s="83"/>
      <c r="M1526" s="83"/>
      <c r="N1526" s="361"/>
      <c r="O1526" s="99">
        <f t="shared" si="232"/>
        <v>864000</v>
      </c>
      <c r="P1526" s="99">
        <f t="shared" si="233"/>
        <v>653576</v>
      </c>
      <c r="Q1526" s="361">
        <f t="shared" si="234"/>
        <v>75.645370370370372</v>
      </c>
    </row>
    <row r="1527" spans="2:17" x14ac:dyDescent="0.2">
      <c r="B1527" s="18">
        <f t="shared" si="235"/>
        <v>21</v>
      </c>
      <c r="C1527" s="3"/>
      <c r="D1527" s="3"/>
      <c r="E1527" s="3"/>
      <c r="F1527" s="90" t="s">
        <v>74</v>
      </c>
      <c r="G1527" s="2">
        <v>630</v>
      </c>
      <c r="H1527" s="3" t="s">
        <v>121</v>
      </c>
      <c r="I1527" s="4">
        <f>SUM(I1528:I1530)</f>
        <v>864000</v>
      </c>
      <c r="J1527" s="4">
        <f>SUM(J1528:J1530)</f>
        <v>653576</v>
      </c>
      <c r="K1527" s="361">
        <f t="shared" si="231"/>
        <v>75.645370370370372</v>
      </c>
      <c r="L1527" s="4"/>
      <c r="M1527" s="4"/>
      <c r="N1527" s="361"/>
      <c r="O1527" s="92">
        <f t="shared" si="232"/>
        <v>864000</v>
      </c>
      <c r="P1527" s="92">
        <f t="shared" si="233"/>
        <v>653576</v>
      </c>
      <c r="Q1527" s="361">
        <f t="shared" si="234"/>
        <v>75.645370370370372</v>
      </c>
    </row>
    <row r="1528" spans="2:17" x14ac:dyDescent="0.2">
      <c r="B1528" s="18">
        <f t="shared" si="235"/>
        <v>22</v>
      </c>
      <c r="C1528" s="6"/>
      <c r="D1528" s="6"/>
      <c r="E1528" s="6"/>
      <c r="F1528" s="93"/>
      <c r="G1528" s="5">
        <v>633</v>
      </c>
      <c r="H1528" s="6" t="s">
        <v>125</v>
      </c>
      <c r="I1528" s="7">
        <v>6000</v>
      </c>
      <c r="J1528" s="7">
        <v>5532</v>
      </c>
      <c r="K1528" s="361">
        <f t="shared" si="231"/>
        <v>92.2</v>
      </c>
      <c r="L1528" s="7"/>
      <c r="M1528" s="7"/>
      <c r="N1528" s="361"/>
      <c r="O1528" s="95">
        <f t="shared" si="232"/>
        <v>6000</v>
      </c>
      <c r="P1528" s="95">
        <f t="shared" si="233"/>
        <v>5532</v>
      </c>
      <c r="Q1528" s="361">
        <f t="shared" si="234"/>
        <v>92.2</v>
      </c>
    </row>
    <row r="1529" spans="2:17" x14ac:dyDescent="0.2">
      <c r="B1529" s="18">
        <f t="shared" si="235"/>
        <v>23</v>
      </c>
      <c r="C1529" s="6"/>
      <c r="D1529" s="6"/>
      <c r="E1529" s="6"/>
      <c r="F1529" s="93"/>
      <c r="G1529" s="5">
        <v>637</v>
      </c>
      <c r="H1529" s="6" t="s">
        <v>122</v>
      </c>
      <c r="I1529" s="7">
        <f>60000+40000+7000+35000+5000+5000+15000+8000+30000+12000+2000-75000-16000</f>
        <v>128000</v>
      </c>
      <c r="J1529" s="7">
        <f>120531+1160-1</f>
        <v>121690</v>
      </c>
      <c r="K1529" s="361">
        <f t="shared" si="231"/>
        <v>95.0703125</v>
      </c>
      <c r="L1529" s="7"/>
      <c r="M1529" s="7"/>
      <c r="N1529" s="361"/>
      <c r="O1529" s="95">
        <f t="shared" si="232"/>
        <v>128000</v>
      </c>
      <c r="P1529" s="95">
        <f t="shared" si="233"/>
        <v>121690</v>
      </c>
      <c r="Q1529" s="361">
        <f t="shared" si="234"/>
        <v>95.0703125</v>
      </c>
    </row>
    <row r="1530" spans="2:17" ht="36" x14ac:dyDescent="0.2">
      <c r="B1530" s="18">
        <f t="shared" si="235"/>
        <v>24</v>
      </c>
      <c r="C1530" s="212"/>
      <c r="D1530" s="212"/>
      <c r="E1530" s="212"/>
      <c r="F1530" s="213"/>
      <c r="G1530" s="214">
        <v>600</v>
      </c>
      <c r="H1530" s="68" t="s">
        <v>575</v>
      </c>
      <c r="I1530" s="69">
        <v>730000</v>
      </c>
      <c r="J1530" s="69">
        <v>526354</v>
      </c>
      <c r="K1530" s="361">
        <f t="shared" si="231"/>
        <v>72.103287671232877</v>
      </c>
      <c r="L1530" s="69"/>
      <c r="M1530" s="69"/>
      <c r="N1530" s="361"/>
      <c r="O1530" s="215">
        <f t="shared" si="232"/>
        <v>730000</v>
      </c>
      <c r="P1530" s="215">
        <f t="shared" si="233"/>
        <v>526354</v>
      </c>
      <c r="Q1530" s="361">
        <f t="shared" si="234"/>
        <v>72.103287671232877</v>
      </c>
    </row>
    <row r="1531" spans="2:17" ht="15" x14ac:dyDescent="0.2">
      <c r="B1531" s="18">
        <f t="shared" si="235"/>
        <v>25</v>
      </c>
      <c r="C1531" s="82">
        <v>3</v>
      </c>
      <c r="D1531" s="495" t="s">
        <v>137</v>
      </c>
      <c r="E1531" s="496"/>
      <c r="F1531" s="496"/>
      <c r="G1531" s="496"/>
      <c r="H1531" s="496"/>
      <c r="I1531" s="83">
        <f>I1532+I1533+I1534</f>
        <v>327200</v>
      </c>
      <c r="J1531" s="83">
        <f>J1532+J1533+J1534</f>
        <v>132708</v>
      </c>
      <c r="K1531" s="361">
        <f t="shared" si="231"/>
        <v>40.558679706601467</v>
      </c>
      <c r="L1531" s="83">
        <f>L1539</f>
        <v>7381026</v>
      </c>
      <c r="M1531" s="83">
        <f>M1539</f>
        <v>80892</v>
      </c>
      <c r="N1531" s="361">
        <f>M1531/L1531*100</f>
        <v>1.0959451978627361</v>
      </c>
      <c r="O1531" s="99">
        <f t="shared" si="232"/>
        <v>7708226</v>
      </c>
      <c r="P1531" s="99">
        <f t="shared" si="233"/>
        <v>213600</v>
      </c>
      <c r="Q1531" s="361">
        <f t="shared" si="234"/>
        <v>2.7710656122433357</v>
      </c>
    </row>
    <row r="1532" spans="2:17" x14ac:dyDescent="0.2">
      <c r="B1532" s="18">
        <f t="shared" si="235"/>
        <v>26</v>
      </c>
      <c r="C1532" s="3"/>
      <c r="D1532" s="3"/>
      <c r="E1532" s="3"/>
      <c r="F1532" s="90" t="s">
        <v>74</v>
      </c>
      <c r="G1532" s="2">
        <v>610</v>
      </c>
      <c r="H1532" s="3" t="s">
        <v>131</v>
      </c>
      <c r="I1532" s="4">
        <v>1000</v>
      </c>
      <c r="J1532" s="4">
        <v>0</v>
      </c>
      <c r="K1532" s="361">
        <f t="shared" si="231"/>
        <v>0</v>
      </c>
      <c r="L1532" s="4"/>
      <c r="M1532" s="4"/>
      <c r="N1532" s="361"/>
      <c r="O1532" s="92">
        <f t="shared" si="232"/>
        <v>1000</v>
      </c>
      <c r="P1532" s="92">
        <f t="shared" si="233"/>
        <v>0</v>
      </c>
      <c r="Q1532" s="361">
        <f t="shared" si="234"/>
        <v>0</v>
      </c>
    </row>
    <row r="1533" spans="2:17" x14ac:dyDescent="0.2">
      <c r="B1533" s="18">
        <f t="shared" si="235"/>
        <v>27</v>
      </c>
      <c r="C1533" s="3"/>
      <c r="D1533" s="3"/>
      <c r="E1533" s="3"/>
      <c r="F1533" s="90" t="s">
        <v>74</v>
      </c>
      <c r="G1533" s="2">
        <v>620</v>
      </c>
      <c r="H1533" s="3" t="s">
        <v>124</v>
      </c>
      <c r="I1533" s="4">
        <f>1200+1000+270+2800+180+600+200+950</f>
        <v>7200</v>
      </c>
      <c r="J1533" s="4">
        <v>3442</v>
      </c>
      <c r="K1533" s="361">
        <f t="shared" si="231"/>
        <v>47.805555555555557</v>
      </c>
      <c r="L1533" s="4"/>
      <c r="M1533" s="4"/>
      <c r="N1533" s="361"/>
      <c r="O1533" s="92">
        <f t="shared" si="232"/>
        <v>7200</v>
      </c>
      <c r="P1533" s="92">
        <f t="shared" si="233"/>
        <v>3442</v>
      </c>
      <c r="Q1533" s="361">
        <f t="shared" si="234"/>
        <v>47.805555555555557</v>
      </c>
    </row>
    <row r="1534" spans="2:17" x14ac:dyDescent="0.2">
      <c r="B1534" s="18">
        <f t="shared" si="235"/>
        <v>28</v>
      </c>
      <c r="C1534" s="3"/>
      <c r="D1534" s="3"/>
      <c r="E1534" s="3"/>
      <c r="F1534" s="90" t="s">
        <v>74</v>
      </c>
      <c r="G1534" s="2">
        <v>630</v>
      </c>
      <c r="H1534" s="3" t="s">
        <v>121</v>
      </c>
      <c r="I1534" s="4">
        <f>I1538+I1537+I1536+I1535</f>
        <v>319000</v>
      </c>
      <c r="J1534" s="4">
        <f>J1538+J1537+J1536+J1535</f>
        <v>129266</v>
      </c>
      <c r="K1534" s="361">
        <f t="shared" si="231"/>
        <v>40.52225705329154</v>
      </c>
      <c r="L1534" s="4"/>
      <c r="M1534" s="4"/>
      <c r="N1534" s="361"/>
      <c r="O1534" s="92">
        <f t="shared" si="232"/>
        <v>319000</v>
      </c>
      <c r="P1534" s="92">
        <f t="shared" si="233"/>
        <v>129266</v>
      </c>
      <c r="Q1534" s="361">
        <f t="shared" si="234"/>
        <v>40.52225705329154</v>
      </c>
    </row>
    <row r="1535" spans="2:17" x14ac:dyDescent="0.2">
      <c r="B1535" s="18">
        <f t="shared" si="235"/>
        <v>29</v>
      </c>
      <c r="C1535" s="6"/>
      <c r="D1535" s="6"/>
      <c r="E1535" s="6"/>
      <c r="F1535" s="93"/>
      <c r="G1535" s="5">
        <v>632</v>
      </c>
      <c r="H1535" s="6" t="s">
        <v>134</v>
      </c>
      <c r="I1535" s="7">
        <v>253000</v>
      </c>
      <c r="J1535" s="7">
        <v>91561</v>
      </c>
      <c r="K1535" s="361">
        <f t="shared" si="231"/>
        <v>36.190118577075097</v>
      </c>
      <c r="L1535" s="7"/>
      <c r="M1535" s="7"/>
      <c r="N1535" s="361"/>
      <c r="O1535" s="95">
        <f t="shared" si="232"/>
        <v>253000</v>
      </c>
      <c r="P1535" s="95">
        <f t="shared" si="233"/>
        <v>91561</v>
      </c>
      <c r="Q1535" s="361">
        <f t="shared" si="234"/>
        <v>36.190118577075097</v>
      </c>
    </row>
    <row r="1536" spans="2:17" x14ac:dyDescent="0.2">
      <c r="B1536" s="18">
        <f t="shared" si="235"/>
        <v>30</v>
      </c>
      <c r="C1536" s="6"/>
      <c r="D1536" s="6"/>
      <c r="E1536" s="6"/>
      <c r="F1536" s="93"/>
      <c r="G1536" s="5">
        <v>633</v>
      </c>
      <c r="H1536" s="6" t="s">
        <v>125</v>
      </c>
      <c r="I1536" s="7">
        <v>9000</v>
      </c>
      <c r="J1536" s="7">
        <v>1710</v>
      </c>
      <c r="K1536" s="361">
        <f t="shared" si="231"/>
        <v>19</v>
      </c>
      <c r="L1536" s="7"/>
      <c r="M1536" s="7"/>
      <c r="N1536" s="361"/>
      <c r="O1536" s="95">
        <f t="shared" si="232"/>
        <v>9000</v>
      </c>
      <c r="P1536" s="95">
        <f t="shared" si="233"/>
        <v>1710</v>
      </c>
      <c r="Q1536" s="361">
        <f t="shared" si="234"/>
        <v>19</v>
      </c>
    </row>
    <row r="1537" spans="2:17" x14ac:dyDescent="0.2">
      <c r="B1537" s="18">
        <f t="shared" si="235"/>
        <v>31</v>
      </c>
      <c r="C1537" s="6"/>
      <c r="D1537" s="6"/>
      <c r="E1537" s="6"/>
      <c r="F1537" s="93"/>
      <c r="G1537" s="5">
        <v>635</v>
      </c>
      <c r="H1537" s="6" t="s">
        <v>133</v>
      </c>
      <c r="I1537" s="7">
        <v>24000</v>
      </c>
      <c r="J1537" s="7">
        <v>17358</v>
      </c>
      <c r="K1537" s="361">
        <f t="shared" si="231"/>
        <v>72.324999999999989</v>
      </c>
      <c r="L1537" s="7"/>
      <c r="M1537" s="7"/>
      <c r="N1537" s="361"/>
      <c r="O1537" s="95">
        <f t="shared" si="232"/>
        <v>24000</v>
      </c>
      <c r="P1537" s="95">
        <f t="shared" si="233"/>
        <v>17358</v>
      </c>
      <c r="Q1537" s="361">
        <f t="shared" si="234"/>
        <v>72.324999999999989</v>
      </c>
    </row>
    <row r="1538" spans="2:17" x14ac:dyDescent="0.2">
      <c r="B1538" s="18">
        <f t="shared" si="235"/>
        <v>32</v>
      </c>
      <c r="C1538" s="6"/>
      <c r="D1538" s="6"/>
      <c r="E1538" s="6"/>
      <c r="F1538" s="93"/>
      <c r="G1538" s="5">
        <v>637</v>
      </c>
      <c r="H1538" s="6" t="s">
        <v>122</v>
      </c>
      <c r="I1538" s="7">
        <v>33000</v>
      </c>
      <c r="J1538" s="7">
        <v>18637</v>
      </c>
      <c r="K1538" s="361">
        <f t="shared" si="231"/>
        <v>56.475757575757576</v>
      </c>
      <c r="L1538" s="7"/>
      <c r="M1538" s="7"/>
      <c r="N1538" s="361"/>
      <c r="O1538" s="95">
        <f t="shared" si="232"/>
        <v>33000</v>
      </c>
      <c r="P1538" s="95">
        <f t="shared" si="233"/>
        <v>18637</v>
      </c>
      <c r="Q1538" s="361">
        <f t="shared" si="234"/>
        <v>56.475757575757576</v>
      </c>
    </row>
    <row r="1539" spans="2:17" x14ac:dyDescent="0.2">
      <c r="B1539" s="18">
        <f t="shared" si="235"/>
        <v>33</v>
      </c>
      <c r="C1539" s="3"/>
      <c r="D1539" s="3"/>
      <c r="E1539" s="3"/>
      <c r="F1539" s="90" t="s">
        <v>74</v>
      </c>
      <c r="G1539" s="2">
        <v>710</v>
      </c>
      <c r="H1539" s="3" t="s">
        <v>175</v>
      </c>
      <c r="I1539" s="4"/>
      <c r="J1539" s="4"/>
      <c r="K1539" s="361"/>
      <c r="L1539" s="4">
        <f>L1540+L1544</f>
        <v>7381026</v>
      </c>
      <c r="M1539" s="4">
        <f>M1540+M1544</f>
        <v>80892</v>
      </c>
      <c r="N1539" s="361">
        <f t="shared" ref="N1539:N1548" si="236">M1539/L1539*100</f>
        <v>1.0959451978627361</v>
      </c>
      <c r="O1539" s="92">
        <f t="shared" ref="O1539:O1573" si="237">I1539+L1539</f>
        <v>7381026</v>
      </c>
      <c r="P1539" s="92">
        <f t="shared" ref="P1539:P1573" si="238">J1539+M1539</f>
        <v>80892</v>
      </c>
      <c r="Q1539" s="361">
        <f t="shared" ref="Q1539:Q1570" si="239">P1539/O1539*100</f>
        <v>1.0959451978627361</v>
      </c>
    </row>
    <row r="1540" spans="2:17" x14ac:dyDescent="0.2">
      <c r="B1540" s="18">
        <f t="shared" ref="B1540:B1568" si="240">B1539+1</f>
        <v>34</v>
      </c>
      <c r="C1540" s="6"/>
      <c r="D1540" s="6"/>
      <c r="E1540" s="6"/>
      <c r="F1540" s="93"/>
      <c r="G1540" s="5">
        <v>716</v>
      </c>
      <c r="H1540" s="6" t="s">
        <v>215</v>
      </c>
      <c r="I1540" s="7"/>
      <c r="J1540" s="7"/>
      <c r="K1540" s="361"/>
      <c r="L1540" s="7">
        <f>SUM(L1541:L1543)</f>
        <v>194000</v>
      </c>
      <c r="M1540" s="7">
        <f>SUM(M1541:M1543)</f>
        <v>78684</v>
      </c>
      <c r="N1540" s="361">
        <f t="shared" si="236"/>
        <v>40.55876288659794</v>
      </c>
      <c r="O1540" s="95">
        <f t="shared" si="237"/>
        <v>194000</v>
      </c>
      <c r="P1540" s="95">
        <f t="shared" si="238"/>
        <v>78684</v>
      </c>
      <c r="Q1540" s="361">
        <f t="shared" si="239"/>
        <v>40.55876288659794</v>
      </c>
    </row>
    <row r="1541" spans="2:17" s="122" customFormat="1" x14ac:dyDescent="0.2">
      <c r="B1541" s="18">
        <f t="shared" si="240"/>
        <v>35</v>
      </c>
      <c r="C1541" s="67"/>
      <c r="D1541" s="67"/>
      <c r="E1541" s="67"/>
      <c r="F1541" s="8"/>
      <c r="G1541" s="8"/>
      <c r="H1541" s="9" t="s">
        <v>515</v>
      </c>
      <c r="I1541" s="10"/>
      <c r="J1541" s="10"/>
      <c r="K1541" s="361"/>
      <c r="L1541" s="10">
        <v>169000</v>
      </c>
      <c r="M1541" s="10">
        <v>73524</v>
      </c>
      <c r="N1541" s="361">
        <f t="shared" si="236"/>
        <v>43.50532544378698</v>
      </c>
      <c r="O1541" s="108">
        <f t="shared" si="237"/>
        <v>169000</v>
      </c>
      <c r="P1541" s="108">
        <f t="shared" si="238"/>
        <v>73524</v>
      </c>
      <c r="Q1541" s="361">
        <f t="shared" si="239"/>
        <v>43.50532544378698</v>
      </c>
    </row>
    <row r="1542" spans="2:17" s="122" customFormat="1" x14ac:dyDescent="0.2">
      <c r="B1542" s="18">
        <f t="shared" si="240"/>
        <v>36</v>
      </c>
      <c r="C1542" s="67"/>
      <c r="D1542" s="67"/>
      <c r="E1542" s="67"/>
      <c r="F1542" s="8"/>
      <c r="G1542" s="8"/>
      <c r="H1542" s="9" t="s">
        <v>490</v>
      </c>
      <c r="I1542" s="10"/>
      <c r="J1542" s="10"/>
      <c r="K1542" s="361"/>
      <c r="L1542" s="10">
        <v>5000</v>
      </c>
      <c r="M1542" s="10">
        <v>3960</v>
      </c>
      <c r="N1542" s="361">
        <f t="shared" si="236"/>
        <v>79.2</v>
      </c>
      <c r="O1542" s="108">
        <f t="shared" si="237"/>
        <v>5000</v>
      </c>
      <c r="P1542" s="108">
        <f t="shared" si="238"/>
        <v>3960</v>
      </c>
      <c r="Q1542" s="361">
        <f t="shared" si="239"/>
        <v>79.2</v>
      </c>
    </row>
    <row r="1543" spans="2:17" x14ac:dyDescent="0.2">
      <c r="B1543" s="18">
        <f t="shared" si="240"/>
        <v>37</v>
      </c>
      <c r="C1543" s="67"/>
      <c r="D1543" s="67"/>
      <c r="E1543" s="67"/>
      <c r="F1543" s="8"/>
      <c r="G1543" s="8"/>
      <c r="H1543" s="9" t="s">
        <v>529</v>
      </c>
      <c r="I1543" s="10"/>
      <c r="J1543" s="10"/>
      <c r="K1543" s="361"/>
      <c r="L1543" s="10">
        <v>20000</v>
      </c>
      <c r="M1543" s="10">
        <v>1200</v>
      </c>
      <c r="N1543" s="361">
        <f t="shared" si="236"/>
        <v>6</v>
      </c>
      <c r="O1543" s="108">
        <f t="shared" si="237"/>
        <v>20000</v>
      </c>
      <c r="P1543" s="108">
        <f t="shared" si="238"/>
        <v>1200</v>
      </c>
      <c r="Q1543" s="361">
        <f t="shared" si="239"/>
        <v>6</v>
      </c>
    </row>
    <row r="1544" spans="2:17" x14ac:dyDescent="0.2">
      <c r="B1544" s="18">
        <f t="shared" si="240"/>
        <v>38</v>
      </c>
      <c r="C1544" s="6"/>
      <c r="D1544" s="6"/>
      <c r="E1544" s="6"/>
      <c r="F1544" s="93"/>
      <c r="G1544" s="5">
        <v>717</v>
      </c>
      <c r="H1544" s="6" t="s">
        <v>182</v>
      </c>
      <c r="I1544" s="7"/>
      <c r="J1544" s="7"/>
      <c r="K1544" s="361"/>
      <c r="L1544" s="7">
        <f>SUM(L1545:L1547)</f>
        <v>7187026</v>
      </c>
      <c r="M1544" s="7">
        <f>SUM(M1545:M1547)</f>
        <v>2208</v>
      </c>
      <c r="N1544" s="361">
        <f t="shared" si="236"/>
        <v>3.0722026050831037E-2</v>
      </c>
      <c r="O1544" s="95">
        <f t="shared" si="237"/>
        <v>7187026</v>
      </c>
      <c r="P1544" s="95">
        <f t="shared" si="238"/>
        <v>2208</v>
      </c>
      <c r="Q1544" s="361">
        <f t="shared" si="239"/>
        <v>3.0722026050831037E-2</v>
      </c>
    </row>
    <row r="1545" spans="2:17" x14ac:dyDescent="0.2">
      <c r="B1545" s="18">
        <f t="shared" si="240"/>
        <v>39</v>
      </c>
      <c r="C1545" s="67"/>
      <c r="D1545" s="67"/>
      <c r="E1545" s="67"/>
      <c r="F1545" s="8"/>
      <c r="G1545" s="8"/>
      <c r="H1545" s="9" t="s">
        <v>486</v>
      </c>
      <c r="I1545" s="10"/>
      <c r="J1545" s="10"/>
      <c r="K1545" s="361"/>
      <c r="L1545" s="10">
        <f>4050000+2714959</f>
        <v>6764959</v>
      </c>
      <c r="M1545" s="10">
        <v>0</v>
      </c>
      <c r="N1545" s="361">
        <f t="shared" si="236"/>
        <v>0</v>
      </c>
      <c r="O1545" s="108">
        <f t="shared" si="237"/>
        <v>6764959</v>
      </c>
      <c r="P1545" s="108">
        <f t="shared" si="238"/>
        <v>0</v>
      </c>
      <c r="Q1545" s="361">
        <f t="shared" si="239"/>
        <v>0</v>
      </c>
    </row>
    <row r="1546" spans="2:17" x14ac:dyDescent="0.2">
      <c r="B1546" s="18">
        <f t="shared" si="240"/>
        <v>40</v>
      </c>
      <c r="C1546" s="67"/>
      <c r="D1546" s="67"/>
      <c r="E1546" s="67"/>
      <c r="F1546" s="8"/>
      <c r="G1546" s="8"/>
      <c r="H1546" s="9" t="s">
        <v>488</v>
      </c>
      <c r="I1546" s="10"/>
      <c r="J1546" s="10"/>
      <c r="K1546" s="361"/>
      <c r="L1546" s="10">
        <f>300000+119667</f>
        <v>419667</v>
      </c>
      <c r="M1546" s="10">
        <v>0</v>
      </c>
      <c r="N1546" s="361">
        <f t="shared" si="236"/>
        <v>0</v>
      </c>
      <c r="O1546" s="108">
        <f t="shared" si="237"/>
        <v>419667</v>
      </c>
      <c r="P1546" s="108">
        <f t="shared" si="238"/>
        <v>0</v>
      </c>
      <c r="Q1546" s="361">
        <f t="shared" si="239"/>
        <v>0</v>
      </c>
    </row>
    <row r="1547" spans="2:17" x14ac:dyDescent="0.2">
      <c r="B1547" s="18">
        <f t="shared" si="240"/>
        <v>41</v>
      </c>
      <c r="C1547" s="67"/>
      <c r="D1547" s="67"/>
      <c r="E1547" s="67"/>
      <c r="F1547" s="8"/>
      <c r="G1547" s="8"/>
      <c r="H1547" s="9" t="s">
        <v>505</v>
      </c>
      <c r="I1547" s="10"/>
      <c r="J1547" s="10"/>
      <c r="K1547" s="361"/>
      <c r="L1547" s="10">
        <f>3300-900</f>
        <v>2400</v>
      </c>
      <c r="M1547" s="10">
        <v>2208</v>
      </c>
      <c r="N1547" s="361">
        <f t="shared" si="236"/>
        <v>92</v>
      </c>
      <c r="O1547" s="108">
        <f t="shared" si="237"/>
        <v>2400</v>
      </c>
      <c r="P1547" s="108">
        <f t="shared" si="238"/>
        <v>2208</v>
      </c>
      <c r="Q1547" s="361">
        <f t="shared" si="239"/>
        <v>92</v>
      </c>
    </row>
    <row r="1548" spans="2:17" ht="15" x14ac:dyDescent="0.2">
      <c r="B1548" s="18">
        <f t="shared" si="240"/>
        <v>42</v>
      </c>
      <c r="C1548" s="82">
        <v>4</v>
      </c>
      <c r="D1548" s="526" t="s">
        <v>597</v>
      </c>
      <c r="E1548" s="527"/>
      <c r="F1548" s="527"/>
      <c r="G1548" s="527"/>
      <c r="H1548" s="527"/>
      <c r="I1548" s="83">
        <f>I1549+I1550+I1551+I1556</f>
        <v>866120</v>
      </c>
      <c r="J1548" s="83">
        <f>J1549+J1550+J1551+J1556</f>
        <v>685126</v>
      </c>
      <c r="K1548" s="361">
        <f t="shared" ref="K1548:K1556" si="241">J1548/I1548*100</f>
        <v>79.102895672655066</v>
      </c>
      <c r="L1548" s="83">
        <f>L1557</f>
        <v>3974175</v>
      </c>
      <c r="M1548" s="83">
        <f>M1557</f>
        <v>25234</v>
      </c>
      <c r="N1548" s="361">
        <f t="shared" si="236"/>
        <v>0.63494939201217859</v>
      </c>
      <c r="O1548" s="99">
        <f t="shared" si="237"/>
        <v>4840295</v>
      </c>
      <c r="P1548" s="99">
        <f t="shared" si="238"/>
        <v>710360</v>
      </c>
      <c r="Q1548" s="361">
        <f t="shared" si="239"/>
        <v>14.675964998001154</v>
      </c>
    </row>
    <row r="1549" spans="2:17" x14ac:dyDescent="0.2">
      <c r="B1549" s="18">
        <f t="shared" si="240"/>
        <v>43</v>
      </c>
      <c r="C1549" s="3"/>
      <c r="D1549" s="3"/>
      <c r="E1549" s="3"/>
      <c r="F1549" s="90" t="s">
        <v>74</v>
      </c>
      <c r="G1549" s="2">
        <v>610</v>
      </c>
      <c r="H1549" s="3" t="s">
        <v>131</v>
      </c>
      <c r="I1549" s="4">
        <f>310000-31000-1000</f>
        <v>278000</v>
      </c>
      <c r="J1549" s="4">
        <v>268309</v>
      </c>
      <c r="K1549" s="361">
        <f t="shared" si="241"/>
        <v>96.514028776978421</v>
      </c>
      <c r="L1549" s="4"/>
      <c r="M1549" s="4"/>
      <c r="N1549" s="361"/>
      <c r="O1549" s="92">
        <f t="shared" si="237"/>
        <v>278000</v>
      </c>
      <c r="P1549" s="92">
        <f t="shared" si="238"/>
        <v>268309</v>
      </c>
      <c r="Q1549" s="361">
        <f t="shared" si="239"/>
        <v>96.514028776978421</v>
      </c>
    </row>
    <row r="1550" spans="2:17" x14ac:dyDescent="0.2">
      <c r="B1550" s="18">
        <f t="shared" si="240"/>
        <v>44</v>
      </c>
      <c r="C1550" s="6"/>
      <c r="D1550" s="6"/>
      <c r="E1550" s="6"/>
      <c r="F1550" s="90" t="s">
        <v>74</v>
      </c>
      <c r="G1550" s="2">
        <v>620</v>
      </c>
      <c r="H1550" s="3" t="s">
        <v>124</v>
      </c>
      <c r="I1550" s="4">
        <f>146000-29000-11700</f>
        <v>105300</v>
      </c>
      <c r="J1550" s="4">
        <v>100861</v>
      </c>
      <c r="K1550" s="361">
        <f t="shared" si="241"/>
        <v>95.784425451092119</v>
      </c>
      <c r="L1550" s="7"/>
      <c r="M1550" s="7"/>
      <c r="N1550" s="361"/>
      <c r="O1550" s="95">
        <f t="shared" si="237"/>
        <v>105300</v>
      </c>
      <c r="P1550" s="95">
        <f t="shared" si="238"/>
        <v>100861</v>
      </c>
      <c r="Q1550" s="361">
        <f t="shared" si="239"/>
        <v>95.784425451092119</v>
      </c>
    </row>
    <row r="1551" spans="2:17" x14ac:dyDescent="0.2">
      <c r="B1551" s="18">
        <f t="shared" si="240"/>
        <v>45</v>
      </c>
      <c r="C1551" s="3"/>
      <c r="D1551" s="3"/>
      <c r="E1551" s="3"/>
      <c r="F1551" s="90" t="s">
        <v>74</v>
      </c>
      <c r="G1551" s="2">
        <v>630</v>
      </c>
      <c r="H1551" s="3" t="s">
        <v>121</v>
      </c>
      <c r="I1551" s="211">
        <f>SUM(I1552:I1555)</f>
        <v>472820</v>
      </c>
      <c r="J1551" s="211">
        <f>SUM(J1552:J1555)</f>
        <v>305957</v>
      </c>
      <c r="K1551" s="361">
        <f t="shared" si="241"/>
        <v>64.708980161583682</v>
      </c>
      <c r="L1551" s="4"/>
      <c r="M1551" s="4"/>
      <c r="N1551" s="361"/>
      <c r="O1551" s="92">
        <f t="shared" si="237"/>
        <v>472820</v>
      </c>
      <c r="P1551" s="92">
        <f t="shared" si="238"/>
        <v>305957</v>
      </c>
      <c r="Q1551" s="361">
        <f t="shared" si="239"/>
        <v>64.708980161583682</v>
      </c>
    </row>
    <row r="1552" spans="2:17" x14ac:dyDescent="0.2">
      <c r="B1552" s="18">
        <f t="shared" si="240"/>
        <v>46</v>
      </c>
      <c r="C1552" s="6"/>
      <c r="D1552" s="6"/>
      <c r="E1552" s="6"/>
      <c r="F1552" s="93"/>
      <c r="G1552" s="216">
        <v>632</v>
      </c>
      <c r="H1552" s="217" t="s">
        <v>134</v>
      </c>
      <c r="I1552" s="218">
        <v>100000</v>
      </c>
      <c r="J1552" s="218">
        <v>54446</v>
      </c>
      <c r="K1552" s="361">
        <f t="shared" si="241"/>
        <v>54.446000000000005</v>
      </c>
      <c r="L1552" s="94"/>
      <c r="M1552" s="94"/>
      <c r="N1552" s="361"/>
      <c r="O1552" s="219">
        <f t="shared" si="237"/>
        <v>100000</v>
      </c>
      <c r="P1552" s="219">
        <f t="shared" si="238"/>
        <v>54446</v>
      </c>
      <c r="Q1552" s="361">
        <f t="shared" si="239"/>
        <v>54.446000000000005</v>
      </c>
    </row>
    <row r="1553" spans="2:17" x14ac:dyDescent="0.2">
      <c r="B1553" s="18">
        <f t="shared" si="240"/>
        <v>47</v>
      </c>
      <c r="C1553" s="6"/>
      <c r="D1553" s="6"/>
      <c r="E1553" s="6"/>
      <c r="F1553" s="93"/>
      <c r="G1553" s="5">
        <v>633</v>
      </c>
      <c r="H1553" s="6" t="s">
        <v>125</v>
      </c>
      <c r="I1553" s="7">
        <f>54000+9515+26400</f>
        <v>89915</v>
      </c>
      <c r="J1553" s="7">
        <v>80362</v>
      </c>
      <c r="K1553" s="361">
        <f t="shared" si="241"/>
        <v>89.375521325696496</v>
      </c>
      <c r="L1553" s="7"/>
      <c r="M1553" s="7"/>
      <c r="N1553" s="361"/>
      <c r="O1553" s="95">
        <f t="shared" si="237"/>
        <v>89915</v>
      </c>
      <c r="P1553" s="95">
        <f t="shared" si="238"/>
        <v>80362</v>
      </c>
      <c r="Q1553" s="361">
        <f t="shared" si="239"/>
        <v>89.375521325696496</v>
      </c>
    </row>
    <row r="1554" spans="2:17" x14ac:dyDescent="0.2">
      <c r="B1554" s="18">
        <f t="shared" si="240"/>
        <v>48</v>
      </c>
      <c r="C1554" s="6"/>
      <c r="D1554" s="6"/>
      <c r="E1554" s="6"/>
      <c r="F1554" s="93"/>
      <c r="G1554" s="5">
        <v>635</v>
      </c>
      <c r="H1554" s="6" t="s">
        <v>133</v>
      </c>
      <c r="I1554" s="7">
        <v>4000</v>
      </c>
      <c r="J1554" s="7">
        <v>3487</v>
      </c>
      <c r="K1554" s="361">
        <f t="shared" si="241"/>
        <v>87.174999999999997</v>
      </c>
      <c r="L1554" s="7"/>
      <c r="M1554" s="7"/>
      <c r="N1554" s="361"/>
      <c r="O1554" s="95">
        <f t="shared" si="237"/>
        <v>4000</v>
      </c>
      <c r="P1554" s="95">
        <f t="shared" si="238"/>
        <v>3487</v>
      </c>
      <c r="Q1554" s="361">
        <f t="shared" si="239"/>
        <v>87.174999999999997</v>
      </c>
    </row>
    <row r="1555" spans="2:17" x14ac:dyDescent="0.2">
      <c r="B1555" s="18">
        <f t="shared" si="240"/>
        <v>49</v>
      </c>
      <c r="C1555" s="6"/>
      <c r="D1555" s="6"/>
      <c r="E1555" s="6"/>
      <c r="F1555" s="93"/>
      <c r="G1555" s="5">
        <v>637</v>
      </c>
      <c r="H1555" s="6" t="s">
        <v>122</v>
      </c>
      <c r="I1555" s="7">
        <f>500000-150000-25000-100000+100000-19695-26400</f>
        <v>278905</v>
      </c>
      <c r="J1555" s="7">
        <v>167662</v>
      </c>
      <c r="K1555" s="361">
        <f t="shared" si="241"/>
        <v>60.114375862748972</v>
      </c>
      <c r="L1555" s="7"/>
      <c r="M1555" s="7"/>
      <c r="N1555" s="361"/>
      <c r="O1555" s="95">
        <f t="shared" si="237"/>
        <v>278905</v>
      </c>
      <c r="P1555" s="95">
        <f t="shared" si="238"/>
        <v>167662</v>
      </c>
      <c r="Q1555" s="361">
        <f t="shared" si="239"/>
        <v>60.114375862748972</v>
      </c>
    </row>
    <row r="1556" spans="2:17" x14ac:dyDescent="0.2">
      <c r="B1556" s="18">
        <f t="shared" si="240"/>
        <v>50</v>
      </c>
      <c r="C1556" s="3"/>
      <c r="D1556" s="3"/>
      <c r="E1556" s="3"/>
      <c r="F1556" s="90" t="s">
        <v>74</v>
      </c>
      <c r="G1556" s="2">
        <v>640</v>
      </c>
      <c r="H1556" s="3" t="s">
        <v>129</v>
      </c>
      <c r="I1556" s="211">
        <f>8000+1000+1000</f>
        <v>10000</v>
      </c>
      <c r="J1556" s="211">
        <v>9999</v>
      </c>
      <c r="K1556" s="361">
        <f t="shared" si="241"/>
        <v>99.99</v>
      </c>
      <c r="L1556" s="275"/>
      <c r="M1556" s="275"/>
      <c r="N1556" s="376"/>
      <c r="O1556" s="92">
        <f t="shared" si="237"/>
        <v>10000</v>
      </c>
      <c r="P1556" s="92">
        <f t="shared" si="238"/>
        <v>9999</v>
      </c>
      <c r="Q1556" s="361">
        <f t="shared" si="239"/>
        <v>99.99</v>
      </c>
    </row>
    <row r="1557" spans="2:17" x14ac:dyDescent="0.2">
      <c r="B1557" s="18">
        <f t="shared" si="240"/>
        <v>51</v>
      </c>
      <c r="C1557" s="3"/>
      <c r="D1557" s="3"/>
      <c r="E1557" s="3"/>
      <c r="F1557" s="90" t="s">
        <v>74</v>
      </c>
      <c r="G1557" s="2">
        <v>710</v>
      </c>
      <c r="H1557" s="3" t="s">
        <v>175</v>
      </c>
      <c r="I1557" s="4"/>
      <c r="J1557" s="4"/>
      <c r="K1557" s="361"/>
      <c r="L1557" s="397">
        <f>L1558+L1565+L1567</f>
        <v>3974175</v>
      </c>
      <c r="M1557" s="4">
        <f>M1558+M1565+M1567</f>
        <v>25234</v>
      </c>
      <c r="N1557" s="398">
        <f t="shared" ref="N1557:N1569" si="242">M1557/L1557*100</f>
        <v>0.63494939201217859</v>
      </c>
      <c r="O1557" s="92">
        <f t="shared" si="237"/>
        <v>3974175</v>
      </c>
      <c r="P1557" s="92">
        <f t="shared" si="238"/>
        <v>25234</v>
      </c>
      <c r="Q1557" s="361">
        <f t="shared" si="239"/>
        <v>0.63494939201217859</v>
      </c>
    </row>
    <row r="1558" spans="2:17" x14ac:dyDescent="0.2">
      <c r="B1558" s="18">
        <f t="shared" si="240"/>
        <v>52</v>
      </c>
      <c r="C1558" s="3"/>
      <c r="D1558" s="3"/>
      <c r="E1558" s="3"/>
      <c r="F1558" s="90"/>
      <c r="G1558" s="5">
        <v>713</v>
      </c>
      <c r="H1558" s="6" t="s">
        <v>218</v>
      </c>
      <c r="I1558" s="7"/>
      <c r="J1558" s="7"/>
      <c r="K1558" s="361"/>
      <c r="L1558" s="399">
        <f>SUM(L1559:L1564)</f>
        <v>266196</v>
      </c>
      <c r="M1558" s="7">
        <f>SUM(M1559:M1564)</f>
        <v>25054</v>
      </c>
      <c r="N1558" s="398">
        <f t="shared" si="242"/>
        <v>9.4118619363175995</v>
      </c>
      <c r="O1558" s="92">
        <f t="shared" si="237"/>
        <v>266196</v>
      </c>
      <c r="P1558" s="92">
        <f t="shared" si="238"/>
        <v>25054</v>
      </c>
      <c r="Q1558" s="361">
        <f t="shared" si="239"/>
        <v>9.4118619363175995</v>
      </c>
    </row>
    <row r="1559" spans="2:17" x14ac:dyDescent="0.2">
      <c r="B1559" s="18">
        <f t="shared" si="240"/>
        <v>53</v>
      </c>
      <c r="C1559" s="3"/>
      <c r="D1559" s="3"/>
      <c r="E1559" s="3"/>
      <c r="F1559" s="90"/>
      <c r="G1559" s="8"/>
      <c r="H1559" s="9" t="s">
        <v>445</v>
      </c>
      <c r="I1559" s="10"/>
      <c r="J1559" s="10"/>
      <c r="K1559" s="361"/>
      <c r="L1559" s="400">
        <f>14860+1156-6100-5800</f>
        <v>4116</v>
      </c>
      <c r="M1559" s="10">
        <v>3155</v>
      </c>
      <c r="N1559" s="398">
        <f t="shared" si="242"/>
        <v>76.652089407191454</v>
      </c>
      <c r="O1559" s="108">
        <f t="shared" si="237"/>
        <v>4116</v>
      </c>
      <c r="P1559" s="108">
        <f t="shared" si="238"/>
        <v>3155</v>
      </c>
      <c r="Q1559" s="361">
        <f t="shared" si="239"/>
        <v>76.652089407191454</v>
      </c>
    </row>
    <row r="1560" spans="2:17" x14ac:dyDescent="0.2">
      <c r="B1560" s="18">
        <f t="shared" si="240"/>
        <v>54</v>
      </c>
      <c r="C1560" s="3"/>
      <c r="D1560" s="3"/>
      <c r="E1560" s="3"/>
      <c r="F1560" s="90"/>
      <c r="G1560" s="8"/>
      <c r="H1560" s="9" t="s">
        <v>710</v>
      </c>
      <c r="I1560" s="10"/>
      <c r="J1560" s="10"/>
      <c r="K1560" s="361"/>
      <c r="L1560" s="400">
        <v>7290</v>
      </c>
      <c r="M1560" s="10">
        <v>7219</v>
      </c>
      <c r="N1560" s="398">
        <f t="shared" si="242"/>
        <v>99.026063100137179</v>
      </c>
      <c r="O1560" s="108">
        <f t="shared" si="237"/>
        <v>7290</v>
      </c>
      <c r="P1560" s="108">
        <f t="shared" si="238"/>
        <v>7219</v>
      </c>
      <c r="Q1560" s="361">
        <f t="shared" si="239"/>
        <v>99.026063100137179</v>
      </c>
    </row>
    <row r="1561" spans="2:17" x14ac:dyDescent="0.2">
      <c r="B1561" s="18">
        <f t="shared" si="240"/>
        <v>55</v>
      </c>
      <c r="C1561" s="3"/>
      <c r="D1561" s="3"/>
      <c r="E1561" s="3"/>
      <c r="F1561" s="90"/>
      <c r="G1561" s="8"/>
      <c r="H1561" s="9" t="s">
        <v>711</v>
      </c>
      <c r="I1561" s="10"/>
      <c r="J1561" s="10"/>
      <c r="K1561" s="361"/>
      <c r="L1561" s="400">
        <v>2890</v>
      </c>
      <c r="M1561" s="10">
        <v>2880</v>
      </c>
      <c r="N1561" s="398">
        <f t="shared" si="242"/>
        <v>99.653979238754317</v>
      </c>
      <c r="O1561" s="108">
        <f t="shared" si="237"/>
        <v>2890</v>
      </c>
      <c r="P1561" s="108">
        <f t="shared" si="238"/>
        <v>2880</v>
      </c>
      <c r="Q1561" s="361">
        <f t="shared" si="239"/>
        <v>99.653979238754317</v>
      </c>
    </row>
    <row r="1562" spans="2:17" x14ac:dyDescent="0.2">
      <c r="B1562" s="18">
        <f t="shared" si="240"/>
        <v>56</v>
      </c>
      <c r="C1562" s="3"/>
      <c r="D1562" s="3"/>
      <c r="E1562" s="3"/>
      <c r="F1562" s="90"/>
      <c r="G1562" s="8"/>
      <c r="H1562" s="9" t="s">
        <v>688</v>
      </c>
      <c r="I1562" s="10"/>
      <c r="J1562" s="10"/>
      <c r="K1562" s="361"/>
      <c r="L1562" s="400">
        <v>6100</v>
      </c>
      <c r="M1562" s="10">
        <v>6000</v>
      </c>
      <c r="N1562" s="398">
        <f t="shared" si="242"/>
        <v>98.360655737704917</v>
      </c>
      <c r="O1562" s="108">
        <f t="shared" si="237"/>
        <v>6100</v>
      </c>
      <c r="P1562" s="108">
        <f t="shared" si="238"/>
        <v>6000</v>
      </c>
      <c r="Q1562" s="361">
        <f t="shared" si="239"/>
        <v>98.360655737704917</v>
      </c>
    </row>
    <row r="1563" spans="2:17" x14ac:dyDescent="0.2">
      <c r="B1563" s="18">
        <f t="shared" si="240"/>
        <v>57</v>
      </c>
      <c r="C1563" s="3"/>
      <c r="D1563" s="3"/>
      <c r="E1563" s="3"/>
      <c r="F1563" s="90"/>
      <c r="G1563" s="8"/>
      <c r="H1563" s="9" t="s">
        <v>639</v>
      </c>
      <c r="I1563" s="10"/>
      <c r="J1563" s="10"/>
      <c r="K1563" s="361"/>
      <c r="L1563" s="400">
        <v>240000</v>
      </c>
      <c r="M1563" s="10">
        <v>0</v>
      </c>
      <c r="N1563" s="398">
        <f t="shared" si="242"/>
        <v>0</v>
      </c>
      <c r="O1563" s="108">
        <f t="shared" si="237"/>
        <v>240000</v>
      </c>
      <c r="P1563" s="108">
        <f t="shared" si="238"/>
        <v>0</v>
      </c>
      <c r="Q1563" s="361">
        <f t="shared" si="239"/>
        <v>0</v>
      </c>
    </row>
    <row r="1564" spans="2:17" s="122" customFormat="1" x14ac:dyDescent="0.2">
      <c r="B1564" s="18">
        <f t="shared" si="240"/>
        <v>58</v>
      </c>
      <c r="C1564" s="3"/>
      <c r="D1564" s="3"/>
      <c r="E1564" s="3"/>
      <c r="F1564" s="90"/>
      <c r="G1564" s="8"/>
      <c r="H1564" s="9" t="s">
        <v>734</v>
      </c>
      <c r="I1564" s="10"/>
      <c r="J1564" s="10"/>
      <c r="K1564" s="361"/>
      <c r="L1564" s="400">
        <v>5800</v>
      </c>
      <c r="M1564" s="10">
        <v>5800</v>
      </c>
      <c r="N1564" s="398">
        <f t="shared" si="242"/>
        <v>100</v>
      </c>
      <c r="O1564" s="108">
        <f t="shared" si="237"/>
        <v>5800</v>
      </c>
      <c r="P1564" s="108">
        <f t="shared" si="238"/>
        <v>5800</v>
      </c>
      <c r="Q1564" s="361">
        <f t="shared" si="239"/>
        <v>100</v>
      </c>
    </row>
    <row r="1565" spans="2:17" s="122" customFormat="1" x14ac:dyDescent="0.2">
      <c r="B1565" s="18">
        <f t="shared" si="240"/>
        <v>59</v>
      </c>
      <c r="C1565" s="67"/>
      <c r="D1565" s="67"/>
      <c r="E1565" s="67"/>
      <c r="F1565" s="8"/>
      <c r="G1565" s="5">
        <v>716</v>
      </c>
      <c r="H1565" s="6" t="s">
        <v>215</v>
      </c>
      <c r="I1565" s="10"/>
      <c r="J1565" s="10"/>
      <c r="K1565" s="361"/>
      <c r="L1565" s="400">
        <f>L1566</f>
        <v>92979</v>
      </c>
      <c r="M1565" s="10">
        <f>M1566</f>
        <v>180</v>
      </c>
      <c r="N1565" s="398">
        <f t="shared" si="242"/>
        <v>0.19359210144226116</v>
      </c>
      <c r="O1565" s="209">
        <f t="shared" si="237"/>
        <v>92979</v>
      </c>
      <c r="P1565" s="209">
        <f t="shared" si="238"/>
        <v>180</v>
      </c>
      <c r="Q1565" s="361">
        <f t="shared" si="239"/>
        <v>0.19359210144226116</v>
      </c>
    </row>
    <row r="1566" spans="2:17" s="122" customFormat="1" x14ac:dyDescent="0.2">
      <c r="B1566" s="18">
        <f t="shared" si="240"/>
        <v>60</v>
      </c>
      <c r="C1566" s="67"/>
      <c r="D1566" s="67"/>
      <c r="E1566" s="67"/>
      <c r="F1566" s="8"/>
      <c r="G1566" s="8"/>
      <c r="H1566" s="9" t="s">
        <v>408</v>
      </c>
      <c r="I1566" s="10"/>
      <c r="J1566" s="10"/>
      <c r="K1566" s="361"/>
      <c r="L1566" s="400">
        <v>92979</v>
      </c>
      <c r="M1566" s="10">
        <v>180</v>
      </c>
      <c r="N1566" s="398">
        <f t="shared" si="242"/>
        <v>0.19359210144226116</v>
      </c>
      <c r="O1566" s="209">
        <f t="shared" si="237"/>
        <v>92979</v>
      </c>
      <c r="P1566" s="209">
        <f t="shared" si="238"/>
        <v>180</v>
      </c>
      <c r="Q1566" s="361">
        <f t="shared" si="239"/>
        <v>0.19359210144226116</v>
      </c>
    </row>
    <row r="1567" spans="2:17" s="122" customFormat="1" x14ac:dyDescent="0.2">
      <c r="B1567" s="18">
        <f t="shared" si="240"/>
        <v>61</v>
      </c>
      <c r="C1567" s="6"/>
      <c r="D1567" s="6"/>
      <c r="E1567" s="6"/>
      <c r="F1567" s="93"/>
      <c r="G1567" s="5">
        <v>717</v>
      </c>
      <c r="H1567" s="6" t="s">
        <v>182</v>
      </c>
      <c r="I1567" s="7"/>
      <c r="J1567" s="7"/>
      <c r="K1567" s="361"/>
      <c r="L1567" s="399">
        <f>SUM(L1568:L1568)</f>
        <v>3615000</v>
      </c>
      <c r="M1567" s="7">
        <f>SUM(M1568:M1568)</f>
        <v>0</v>
      </c>
      <c r="N1567" s="398">
        <f t="shared" si="242"/>
        <v>0</v>
      </c>
      <c r="O1567" s="95">
        <f t="shared" si="237"/>
        <v>3615000</v>
      </c>
      <c r="P1567" s="95">
        <f t="shared" si="238"/>
        <v>0</v>
      </c>
      <c r="Q1567" s="361">
        <f t="shared" si="239"/>
        <v>0</v>
      </c>
    </row>
    <row r="1568" spans="2:17" x14ac:dyDescent="0.2">
      <c r="B1568" s="18">
        <f t="shared" si="240"/>
        <v>62</v>
      </c>
      <c r="C1568" s="222"/>
      <c r="D1568" s="222"/>
      <c r="E1568" s="222"/>
      <c r="F1568" s="223"/>
      <c r="G1568" s="223"/>
      <c r="H1568" s="224" t="s">
        <v>481</v>
      </c>
      <c r="I1568" s="220"/>
      <c r="J1568" s="220"/>
      <c r="K1568" s="361"/>
      <c r="L1568" s="400">
        <f>3600000+15000</f>
        <v>3615000</v>
      </c>
      <c r="M1568" s="10">
        <v>0</v>
      </c>
      <c r="N1568" s="398">
        <f t="shared" si="242"/>
        <v>0</v>
      </c>
      <c r="O1568" s="225">
        <f t="shared" si="237"/>
        <v>3615000</v>
      </c>
      <c r="P1568" s="225">
        <f t="shared" si="238"/>
        <v>0</v>
      </c>
      <c r="Q1568" s="361">
        <f t="shared" si="239"/>
        <v>0</v>
      </c>
    </row>
    <row r="1569" spans="2:19" ht="15" x14ac:dyDescent="0.2">
      <c r="B1569" s="18">
        <f t="shared" ref="B1569:B1579" si="243">B1568+1</f>
        <v>63</v>
      </c>
      <c r="C1569" s="226">
        <v>5</v>
      </c>
      <c r="D1569" s="524" t="s">
        <v>399</v>
      </c>
      <c r="E1569" s="525"/>
      <c r="F1569" s="525"/>
      <c r="G1569" s="525"/>
      <c r="H1569" s="525"/>
      <c r="I1569" s="227">
        <f>I1575+I1570</f>
        <v>677450</v>
      </c>
      <c r="J1569" s="227">
        <f>J1575+J1570</f>
        <v>631077</v>
      </c>
      <c r="K1569" s="361">
        <f>J1569/I1569*100</f>
        <v>93.154771569857559</v>
      </c>
      <c r="L1569" s="396">
        <f>L1572</f>
        <v>116000</v>
      </c>
      <c r="M1569" s="396">
        <f>M1572</f>
        <v>116000</v>
      </c>
      <c r="N1569" s="377">
        <f t="shared" si="242"/>
        <v>100</v>
      </c>
      <c r="O1569" s="228">
        <f t="shared" si="237"/>
        <v>793450</v>
      </c>
      <c r="P1569" s="228">
        <f t="shared" si="238"/>
        <v>747077</v>
      </c>
      <c r="Q1569" s="361">
        <f t="shared" si="239"/>
        <v>94.155523347406884</v>
      </c>
    </row>
    <row r="1570" spans="2:19" x14ac:dyDescent="0.2">
      <c r="B1570" s="18">
        <f t="shared" si="243"/>
        <v>64</v>
      </c>
      <c r="C1570" s="229"/>
      <c r="D1570" s="230"/>
      <c r="E1570" s="230"/>
      <c r="F1570" s="231" t="s">
        <v>74</v>
      </c>
      <c r="G1570" s="232">
        <v>640</v>
      </c>
      <c r="H1570" s="230" t="s">
        <v>129</v>
      </c>
      <c r="I1570" s="233">
        <f>I1571</f>
        <v>543680</v>
      </c>
      <c r="J1570" s="233">
        <f>J1571</f>
        <v>543680</v>
      </c>
      <c r="K1570" s="361">
        <f>J1570/I1570*100</f>
        <v>100</v>
      </c>
      <c r="L1570" s="30"/>
      <c r="M1570" s="30"/>
      <c r="N1570" s="361"/>
      <c r="O1570" s="234">
        <f t="shared" si="237"/>
        <v>543680</v>
      </c>
      <c r="P1570" s="234">
        <f t="shared" si="238"/>
        <v>543680</v>
      </c>
      <c r="Q1570" s="361">
        <f t="shared" si="239"/>
        <v>100</v>
      </c>
    </row>
    <row r="1571" spans="2:19" ht="24" x14ac:dyDescent="0.2">
      <c r="B1571" s="18">
        <f t="shared" si="243"/>
        <v>65</v>
      </c>
      <c r="C1571" s="235"/>
      <c r="D1571" s="236"/>
      <c r="E1571" s="236"/>
      <c r="F1571" s="237"/>
      <c r="G1571" s="238"/>
      <c r="H1571" s="239" t="s">
        <v>514</v>
      </c>
      <c r="I1571" s="240">
        <v>543680</v>
      </c>
      <c r="J1571" s="240">
        <v>543680</v>
      </c>
      <c r="K1571" s="361">
        <f>J1571/I1571*100</f>
        <v>100</v>
      </c>
      <c r="L1571" s="241"/>
      <c r="M1571" s="241"/>
      <c r="N1571" s="361"/>
      <c r="O1571" s="242">
        <f t="shared" si="237"/>
        <v>543680</v>
      </c>
      <c r="P1571" s="242">
        <f t="shared" si="238"/>
        <v>543680</v>
      </c>
      <c r="Q1571" s="361">
        <f t="shared" ref="Q1571:Q1573" si="244">P1571/O1571*100</f>
        <v>100</v>
      </c>
    </row>
    <row r="1572" spans="2:19" x14ac:dyDescent="0.2">
      <c r="B1572" s="18">
        <f t="shared" si="243"/>
        <v>66</v>
      </c>
      <c r="C1572" s="229"/>
      <c r="D1572" s="230"/>
      <c r="E1572" s="230"/>
      <c r="F1572" s="231" t="s">
        <v>74</v>
      </c>
      <c r="G1572" s="232">
        <v>720</v>
      </c>
      <c r="H1572" s="230" t="s">
        <v>3</v>
      </c>
      <c r="I1572" s="233"/>
      <c r="J1572" s="233"/>
      <c r="K1572" s="361"/>
      <c r="L1572" s="233">
        <f>L1573</f>
        <v>116000</v>
      </c>
      <c r="M1572" s="233">
        <f>M1573</f>
        <v>116000</v>
      </c>
      <c r="N1572" s="361">
        <f>M1572/L1572*100</f>
        <v>100</v>
      </c>
      <c r="O1572" s="234">
        <f t="shared" si="237"/>
        <v>116000</v>
      </c>
      <c r="P1572" s="234">
        <f t="shared" si="238"/>
        <v>116000</v>
      </c>
      <c r="Q1572" s="361">
        <f t="shared" si="244"/>
        <v>100</v>
      </c>
    </row>
    <row r="1573" spans="2:19" x14ac:dyDescent="0.2">
      <c r="B1573" s="18">
        <f t="shared" si="243"/>
        <v>67</v>
      </c>
      <c r="C1573" s="229"/>
      <c r="D1573" s="230"/>
      <c r="E1573" s="230"/>
      <c r="F1573" s="231"/>
      <c r="G1573" s="232"/>
      <c r="H1573" s="243" t="s">
        <v>571</v>
      </c>
      <c r="I1573" s="244"/>
      <c r="J1573" s="244"/>
      <c r="K1573" s="361"/>
      <c r="L1573" s="244">
        <v>116000</v>
      </c>
      <c r="M1573" s="244">
        <v>116000</v>
      </c>
      <c r="N1573" s="361">
        <f>M1573/L1573*100</f>
        <v>100</v>
      </c>
      <c r="O1573" s="245">
        <f t="shared" si="237"/>
        <v>116000</v>
      </c>
      <c r="P1573" s="245">
        <f t="shared" si="238"/>
        <v>116000</v>
      </c>
      <c r="Q1573" s="361">
        <f t="shared" si="244"/>
        <v>100</v>
      </c>
      <c r="S1573" s="14"/>
    </row>
    <row r="1574" spans="2:19" x14ac:dyDescent="0.2">
      <c r="B1574" s="18">
        <f t="shared" si="243"/>
        <v>68</v>
      </c>
      <c r="C1574" s="229"/>
      <c r="D1574" s="230"/>
      <c r="E1574" s="230"/>
      <c r="F1574" s="231"/>
      <c r="G1574" s="232"/>
      <c r="H1574" s="243"/>
      <c r="I1574" s="244"/>
      <c r="J1574" s="244"/>
      <c r="K1574" s="361"/>
      <c r="L1574" s="244"/>
      <c r="M1574" s="244"/>
      <c r="N1574" s="361"/>
      <c r="O1574" s="246"/>
      <c r="P1574" s="246"/>
      <c r="Q1574" s="361"/>
    </row>
    <row r="1575" spans="2:19" x14ac:dyDescent="0.2">
      <c r="B1575" s="18">
        <f t="shared" si="243"/>
        <v>69</v>
      </c>
      <c r="C1575" s="247"/>
      <c r="D1575" s="248"/>
      <c r="E1575" s="248"/>
      <c r="F1575" s="249" t="s">
        <v>74</v>
      </c>
      <c r="G1575" s="250">
        <v>600</v>
      </c>
      <c r="H1575" s="251" t="s">
        <v>470</v>
      </c>
      <c r="I1575" s="252">
        <f>I1576+I1577+I1578+I1579</f>
        <v>133770</v>
      </c>
      <c r="J1575" s="252">
        <f>J1576+J1577+J1578+J1579</f>
        <v>87397</v>
      </c>
      <c r="K1575" s="361">
        <f>J1575/I1575*100</f>
        <v>65.333781864394112</v>
      </c>
      <c r="L1575" s="253"/>
      <c r="M1575" s="253"/>
      <c r="N1575" s="361"/>
      <c r="O1575" s="350">
        <f t="shared" ref="O1575:P1579" si="245">I1575+L1575</f>
        <v>133770</v>
      </c>
      <c r="P1575" s="350">
        <f t="shared" si="245"/>
        <v>87397</v>
      </c>
      <c r="Q1575" s="361">
        <f>P1575/O1575*100</f>
        <v>65.333781864394112</v>
      </c>
    </row>
    <row r="1576" spans="2:19" x14ac:dyDescent="0.2">
      <c r="B1576" s="18">
        <f t="shared" si="243"/>
        <v>70</v>
      </c>
      <c r="C1576" s="254"/>
      <c r="D1576" s="255"/>
      <c r="E1576" s="255"/>
      <c r="F1576" s="231"/>
      <c r="G1576" s="256">
        <v>610</v>
      </c>
      <c r="H1576" s="6" t="s">
        <v>131</v>
      </c>
      <c r="I1576" s="30">
        <f>73052-200-1000</f>
        <v>71852</v>
      </c>
      <c r="J1576" s="30">
        <v>46358</v>
      </c>
      <c r="K1576" s="361">
        <f>J1576/I1576*100</f>
        <v>64.518732951066085</v>
      </c>
      <c r="L1576" s="30"/>
      <c r="M1576" s="30"/>
      <c r="N1576" s="361"/>
      <c r="O1576" s="245">
        <f t="shared" si="245"/>
        <v>71852</v>
      </c>
      <c r="P1576" s="245">
        <f t="shared" si="245"/>
        <v>46358</v>
      </c>
      <c r="Q1576" s="361">
        <f>P1576/O1576*100</f>
        <v>64.518732951066085</v>
      </c>
    </row>
    <row r="1577" spans="2:19" x14ac:dyDescent="0.2">
      <c r="B1577" s="18">
        <f t="shared" si="243"/>
        <v>71</v>
      </c>
      <c r="C1577" s="254"/>
      <c r="D1577" s="255"/>
      <c r="E1577" s="255"/>
      <c r="F1577" s="231"/>
      <c r="G1577" s="256">
        <v>620</v>
      </c>
      <c r="H1577" s="29" t="s">
        <v>124</v>
      </c>
      <c r="I1577" s="30">
        <f>25568-800</f>
        <v>24768</v>
      </c>
      <c r="J1577" s="30">
        <v>20516</v>
      </c>
      <c r="K1577" s="361">
        <f>J1577/I1577*100</f>
        <v>82.832687338501287</v>
      </c>
      <c r="L1577" s="30"/>
      <c r="M1577" s="30"/>
      <c r="N1577" s="361"/>
      <c r="O1577" s="245">
        <f t="shared" si="245"/>
        <v>24768</v>
      </c>
      <c r="P1577" s="245">
        <f t="shared" si="245"/>
        <v>20516</v>
      </c>
      <c r="Q1577" s="361">
        <f>P1577/O1577*100</f>
        <v>82.832687338501287</v>
      </c>
    </row>
    <row r="1578" spans="2:19" x14ac:dyDescent="0.2">
      <c r="B1578" s="18">
        <f t="shared" si="243"/>
        <v>72</v>
      </c>
      <c r="C1578" s="339"/>
      <c r="D1578" s="340"/>
      <c r="E1578" s="340"/>
      <c r="F1578" s="341"/>
      <c r="G1578" s="346">
        <v>630</v>
      </c>
      <c r="H1578" s="347" t="s">
        <v>121</v>
      </c>
      <c r="I1578" s="348">
        <f>33350+1800</f>
        <v>35150</v>
      </c>
      <c r="J1578" s="348">
        <v>18385</v>
      </c>
      <c r="K1578" s="361">
        <f>J1578/I1578*100</f>
        <v>52.304409672830722</v>
      </c>
      <c r="L1578" s="348"/>
      <c r="M1578" s="348"/>
      <c r="N1578" s="361"/>
      <c r="O1578" s="349">
        <f t="shared" si="245"/>
        <v>35150</v>
      </c>
      <c r="P1578" s="349">
        <f t="shared" si="245"/>
        <v>18385</v>
      </c>
      <c r="Q1578" s="361">
        <f>P1578/O1578*100</f>
        <v>52.304409672830722</v>
      </c>
    </row>
    <row r="1579" spans="2:19" x14ac:dyDescent="0.2">
      <c r="B1579" s="18">
        <f t="shared" si="243"/>
        <v>73</v>
      </c>
      <c r="C1579" s="257"/>
      <c r="D1579" s="258"/>
      <c r="E1579" s="258"/>
      <c r="F1579" s="259"/>
      <c r="G1579" s="342">
        <v>640</v>
      </c>
      <c r="H1579" s="343" t="s">
        <v>129</v>
      </c>
      <c r="I1579" s="344">
        <f>200+800+1000</f>
        <v>2000</v>
      </c>
      <c r="J1579" s="344">
        <v>2138</v>
      </c>
      <c r="K1579" s="361">
        <f>J1579/I1579*100</f>
        <v>106.89999999999999</v>
      </c>
      <c r="L1579" s="344"/>
      <c r="M1579" s="344"/>
      <c r="N1579" s="361"/>
      <c r="O1579" s="345">
        <f t="shared" si="245"/>
        <v>2000</v>
      </c>
      <c r="P1579" s="345">
        <f t="shared" si="245"/>
        <v>2138</v>
      </c>
      <c r="Q1579" s="361">
        <f>P1579/O1579*100</f>
        <v>106.89999999999999</v>
      </c>
    </row>
    <row r="1580" spans="2:19" x14ac:dyDescent="0.2">
      <c r="B1580" s="1"/>
      <c r="F1580" s="1"/>
      <c r="G1580" s="1"/>
      <c r="I1580" s="1"/>
      <c r="J1580" s="1"/>
      <c r="K1580" s="1"/>
      <c r="L1580" s="1"/>
      <c r="M1580" s="1"/>
      <c r="N1580" s="1"/>
      <c r="O1580" s="1"/>
    </row>
    <row r="1581" spans="2:19" x14ac:dyDescent="0.2">
      <c r="B1581" s="1"/>
      <c r="F1581" s="1"/>
      <c r="G1581" s="1"/>
      <c r="I1581" s="1"/>
      <c r="K1581" s="1"/>
      <c r="L1581" s="1"/>
      <c r="M1581" s="1"/>
      <c r="N1581" s="1"/>
      <c r="O1581" s="1"/>
    </row>
    <row r="1582" spans="2:19" x14ac:dyDescent="0.2">
      <c r="B1582" s="1"/>
      <c r="F1582" s="1"/>
      <c r="G1582" s="1"/>
      <c r="I1582" s="1"/>
      <c r="J1582" s="1"/>
      <c r="K1582" s="1"/>
      <c r="L1582" s="1"/>
      <c r="M1582" s="1"/>
      <c r="N1582" s="1"/>
      <c r="O1582" s="1"/>
    </row>
    <row r="1583" spans="2:19" x14ac:dyDescent="0.2">
      <c r="B1583" s="1"/>
      <c r="F1583" s="1"/>
      <c r="G1583" s="1"/>
      <c r="I1583" s="1"/>
      <c r="J1583" s="1"/>
      <c r="K1583" s="1"/>
      <c r="L1583" s="1"/>
      <c r="M1583" s="1"/>
      <c r="N1583" s="1"/>
      <c r="O1583" s="1"/>
    </row>
    <row r="1584" spans="2:19" x14ac:dyDescent="0.2">
      <c r="B1584" s="1"/>
      <c r="F1584" s="1"/>
      <c r="G1584" s="1"/>
      <c r="I1584" s="1"/>
      <c r="J1584" s="1"/>
      <c r="K1584" s="1"/>
      <c r="L1584" s="1"/>
      <c r="M1584" s="1"/>
      <c r="N1584" s="1"/>
      <c r="O1584" s="1"/>
    </row>
    <row r="1585" spans="2:17" x14ac:dyDescent="0.2">
      <c r="B1585" s="1"/>
      <c r="F1585" s="1"/>
      <c r="G1585" s="1"/>
      <c r="I1585" s="1"/>
      <c r="J1585" s="1"/>
      <c r="K1585" s="1"/>
      <c r="L1585" s="1"/>
      <c r="M1585" s="1"/>
      <c r="N1585" s="1"/>
      <c r="O1585" s="1"/>
    </row>
    <row r="1586" spans="2:17" x14ac:dyDescent="0.2">
      <c r="B1586" s="1"/>
      <c r="F1586" s="1"/>
      <c r="G1586" s="1"/>
      <c r="I1586" s="1"/>
      <c r="J1586" s="1"/>
      <c r="K1586" s="1"/>
      <c r="L1586" s="1"/>
      <c r="M1586" s="1"/>
      <c r="N1586" s="1"/>
      <c r="O1586" s="1"/>
    </row>
    <row r="1587" spans="2:17" x14ac:dyDescent="0.2">
      <c r="B1587" s="1"/>
      <c r="F1587" s="1"/>
      <c r="G1587" s="1"/>
      <c r="I1587" s="1"/>
      <c r="J1587" s="1"/>
      <c r="K1587" s="1"/>
      <c r="L1587" s="1"/>
      <c r="M1587" s="1"/>
      <c r="N1587" s="1"/>
      <c r="O1587" s="1"/>
    </row>
    <row r="1588" spans="2:17" x14ac:dyDescent="0.2">
      <c r="B1588" s="1"/>
      <c r="F1588" s="1"/>
      <c r="G1588" s="1"/>
      <c r="I1588" s="1"/>
      <c r="J1588" s="1"/>
      <c r="K1588" s="1"/>
      <c r="L1588" s="1"/>
      <c r="M1588" s="1"/>
      <c r="N1588" s="1"/>
      <c r="O1588" s="1"/>
    </row>
    <row r="1589" spans="2:17" x14ac:dyDescent="0.2">
      <c r="B1589" s="1"/>
      <c r="F1589" s="1"/>
      <c r="G1589" s="1"/>
      <c r="I1589" s="1"/>
      <c r="J1589" s="1"/>
      <c r="K1589" s="1"/>
      <c r="L1589" s="1"/>
      <c r="M1589" s="1"/>
      <c r="N1589" s="1"/>
      <c r="O1589" s="1"/>
    </row>
    <row r="1590" spans="2:17" x14ac:dyDescent="0.2">
      <c r="B1590" s="1"/>
      <c r="F1590" s="1"/>
      <c r="G1590" s="1"/>
      <c r="I1590" s="1"/>
      <c r="J1590" s="1"/>
      <c r="K1590" s="1"/>
      <c r="L1590" s="1"/>
      <c r="M1590" s="1"/>
      <c r="N1590" s="1"/>
      <c r="O1590" s="1"/>
    </row>
    <row r="1591" spans="2:17" ht="27.75" x14ac:dyDescent="0.4">
      <c r="B1591" s="499" t="s">
        <v>22</v>
      </c>
      <c r="C1591" s="500"/>
      <c r="D1591" s="500"/>
      <c r="E1591" s="500"/>
      <c r="F1591" s="500"/>
      <c r="G1591" s="500"/>
      <c r="H1591" s="500"/>
      <c r="I1591" s="500"/>
      <c r="J1591" s="500"/>
      <c r="K1591" s="500"/>
      <c r="L1591" s="500"/>
      <c r="M1591" s="500"/>
      <c r="N1591" s="500"/>
      <c r="O1591" s="500"/>
    </row>
    <row r="1592" spans="2:17" ht="15" customHeight="1" x14ac:dyDescent="0.35">
      <c r="B1592" s="509" t="s">
        <v>418</v>
      </c>
      <c r="C1592" s="510"/>
      <c r="D1592" s="510"/>
      <c r="E1592" s="510"/>
      <c r="F1592" s="510"/>
      <c r="G1592" s="510"/>
      <c r="H1592" s="510"/>
      <c r="I1592" s="510"/>
      <c r="J1592" s="510"/>
      <c r="K1592" s="511"/>
      <c r="L1592" s="510"/>
      <c r="M1592" s="510"/>
      <c r="N1592" s="511"/>
      <c r="O1592" s="501" t="s">
        <v>741</v>
      </c>
      <c r="P1592" s="512" t="s">
        <v>739</v>
      </c>
      <c r="Q1592" s="514" t="s">
        <v>738</v>
      </c>
    </row>
    <row r="1593" spans="2:17" ht="12.75" customHeight="1" x14ac:dyDescent="0.2">
      <c r="B1593" s="503"/>
      <c r="C1593" s="504" t="s">
        <v>114</v>
      </c>
      <c r="D1593" s="504" t="s">
        <v>115</v>
      </c>
      <c r="E1593" s="504"/>
      <c r="F1593" s="504" t="s">
        <v>116</v>
      </c>
      <c r="G1593" s="506" t="s">
        <v>117</v>
      </c>
      <c r="H1593" s="507" t="s">
        <v>118</v>
      </c>
      <c r="I1593" s="508" t="s">
        <v>742</v>
      </c>
      <c r="J1593" s="508" t="s">
        <v>744</v>
      </c>
      <c r="K1593" s="517" t="s">
        <v>738</v>
      </c>
      <c r="L1593" s="505" t="s">
        <v>743</v>
      </c>
      <c r="M1593" s="508" t="s">
        <v>745</v>
      </c>
      <c r="N1593" s="520" t="s">
        <v>738</v>
      </c>
      <c r="O1593" s="502"/>
      <c r="P1593" s="513"/>
      <c r="Q1593" s="515"/>
    </row>
    <row r="1594" spans="2:17" ht="12.75" customHeight="1" x14ac:dyDescent="0.2">
      <c r="B1594" s="503"/>
      <c r="C1594" s="504"/>
      <c r="D1594" s="504"/>
      <c r="E1594" s="504"/>
      <c r="F1594" s="504"/>
      <c r="G1594" s="506"/>
      <c r="H1594" s="507"/>
      <c r="I1594" s="508"/>
      <c r="J1594" s="508"/>
      <c r="K1594" s="518"/>
      <c r="L1594" s="505"/>
      <c r="M1594" s="508"/>
      <c r="N1594" s="521"/>
      <c r="O1594" s="502"/>
      <c r="P1594" s="513"/>
      <c r="Q1594" s="515"/>
    </row>
    <row r="1595" spans="2:17" ht="12.75" customHeight="1" x14ac:dyDescent="0.2">
      <c r="B1595" s="503"/>
      <c r="C1595" s="504"/>
      <c r="D1595" s="504"/>
      <c r="E1595" s="504"/>
      <c r="F1595" s="504"/>
      <c r="G1595" s="506"/>
      <c r="H1595" s="507"/>
      <c r="I1595" s="508"/>
      <c r="J1595" s="508"/>
      <c r="K1595" s="518"/>
      <c r="L1595" s="505"/>
      <c r="M1595" s="508"/>
      <c r="N1595" s="521"/>
      <c r="O1595" s="502"/>
      <c r="P1595" s="513"/>
      <c r="Q1595" s="515"/>
    </row>
    <row r="1596" spans="2:17" s="122" customFormat="1" ht="12.75" customHeight="1" x14ac:dyDescent="0.2">
      <c r="B1596" s="503"/>
      <c r="C1596" s="504"/>
      <c r="D1596" s="504"/>
      <c r="E1596" s="504"/>
      <c r="F1596" s="504"/>
      <c r="G1596" s="506"/>
      <c r="H1596" s="507"/>
      <c r="I1596" s="508"/>
      <c r="J1596" s="508"/>
      <c r="K1596" s="519"/>
      <c r="L1596" s="505"/>
      <c r="M1596" s="508"/>
      <c r="N1596" s="521"/>
      <c r="O1596" s="502"/>
      <c r="P1596" s="513"/>
      <c r="Q1596" s="516"/>
    </row>
    <row r="1597" spans="2:17" ht="15.75" x14ac:dyDescent="0.2">
      <c r="B1597" s="18">
        <v>1</v>
      </c>
      <c r="C1597" s="493" t="s">
        <v>22</v>
      </c>
      <c r="D1597" s="494"/>
      <c r="E1597" s="494"/>
      <c r="F1597" s="494"/>
      <c r="G1597" s="494"/>
      <c r="H1597" s="494"/>
      <c r="I1597" s="80">
        <f>I1680+I1670+I1667+I1650+I1632+I1598</f>
        <v>5797465</v>
      </c>
      <c r="J1597" s="80">
        <f>J1680+J1670+J1667+J1650+J1632+J1598</f>
        <v>4963513</v>
      </c>
      <c r="K1597" s="361">
        <f>J1597/I1597*100</f>
        <v>85.615230104882045</v>
      </c>
      <c r="L1597" s="80">
        <f>L1680+L1670+L1667+L1650+L1632+L1598</f>
        <v>1889473</v>
      </c>
      <c r="M1597" s="80">
        <f>M1680+M1670+M1667+M1650+M1632+M1598</f>
        <v>1067044</v>
      </c>
      <c r="N1597" s="361">
        <f>M1597/L1597*100</f>
        <v>56.473101229813814</v>
      </c>
      <c r="O1597" s="81">
        <f t="shared" ref="O1597:O1628" si="246">I1597+L1597</f>
        <v>7686938</v>
      </c>
      <c r="P1597" s="81">
        <f t="shared" ref="P1597:P1628" si="247">J1597+M1597</f>
        <v>6030557</v>
      </c>
      <c r="Q1597" s="361">
        <f t="shared" ref="Q1597:Q1628" si="248">P1597/O1597*100</f>
        <v>78.45200520675462</v>
      </c>
    </row>
    <row r="1598" spans="2:17" ht="15" x14ac:dyDescent="0.2">
      <c r="B1598" s="18">
        <f t="shared" ref="B1598:B1629" si="249">B1597+1</f>
        <v>2</v>
      </c>
      <c r="C1598" s="82">
        <v>1</v>
      </c>
      <c r="D1598" s="495" t="s">
        <v>193</v>
      </c>
      <c r="E1598" s="496"/>
      <c r="F1598" s="496"/>
      <c r="G1598" s="496"/>
      <c r="H1598" s="496"/>
      <c r="I1598" s="83">
        <f>I1607+I1599</f>
        <v>1578180</v>
      </c>
      <c r="J1598" s="83">
        <f>J1607+J1599</f>
        <v>1417807</v>
      </c>
      <c r="K1598" s="361">
        <f>J1598/I1598*100</f>
        <v>89.838104652194289</v>
      </c>
      <c r="L1598" s="83">
        <f>L1601+L1607</f>
        <v>940800</v>
      </c>
      <c r="M1598" s="83">
        <f>M1601+M1607</f>
        <v>692511</v>
      </c>
      <c r="N1598" s="361">
        <f>M1598/L1598*100</f>
        <v>73.608737244897952</v>
      </c>
      <c r="O1598" s="99">
        <f t="shared" si="246"/>
        <v>2518980</v>
      </c>
      <c r="P1598" s="99">
        <f t="shared" si="247"/>
        <v>2110318</v>
      </c>
      <c r="Q1598" s="361">
        <f t="shared" si="248"/>
        <v>83.776687389340125</v>
      </c>
    </row>
    <row r="1599" spans="2:17" x14ac:dyDescent="0.2">
      <c r="B1599" s="18">
        <f t="shared" si="249"/>
        <v>3</v>
      </c>
      <c r="C1599" s="3"/>
      <c r="D1599" s="3"/>
      <c r="E1599" s="3"/>
      <c r="F1599" s="90" t="s">
        <v>192</v>
      </c>
      <c r="G1599" s="2">
        <v>630</v>
      </c>
      <c r="H1599" s="3" t="s">
        <v>121</v>
      </c>
      <c r="I1599" s="4">
        <f>I1600</f>
        <v>500</v>
      </c>
      <c r="J1599" s="4">
        <f>J1600</f>
        <v>373</v>
      </c>
      <c r="K1599" s="361">
        <f>J1599/I1599*100</f>
        <v>74.599999999999994</v>
      </c>
      <c r="L1599" s="4"/>
      <c r="M1599" s="4"/>
      <c r="N1599" s="361"/>
      <c r="O1599" s="92">
        <f t="shared" si="246"/>
        <v>500</v>
      </c>
      <c r="P1599" s="92">
        <f t="shared" si="247"/>
        <v>373</v>
      </c>
      <c r="Q1599" s="361">
        <f t="shared" si="248"/>
        <v>74.599999999999994</v>
      </c>
    </row>
    <row r="1600" spans="2:17" x14ac:dyDescent="0.2">
      <c r="B1600" s="18">
        <f t="shared" si="249"/>
        <v>4</v>
      </c>
      <c r="C1600" s="6"/>
      <c r="D1600" s="6"/>
      <c r="E1600" s="6"/>
      <c r="F1600" s="93"/>
      <c r="G1600" s="5">
        <v>637</v>
      </c>
      <c r="H1600" s="6" t="s">
        <v>122</v>
      </c>
      <c r="I1600" s="7">
        <v>500</v>
      </c>
      <c r="J1600" s="7">
        <v>373</v>
      </c>
      <c r="K1600" s="361">
        <f>J1600/I1600*100</f>
        <v>74.599999999999994</v>
      </c>
      <c r="L1600" s="7"/>
      <c r="M1600" s="7"/>
      <c r="N1600" s="361"/>
      <c r="O1600" s="95">
        <f t="shared" si="246"/>
        <v>500</v>
      </c>
      <c r="P1600" s="95">
        <f t="shared" si="247"/>
        <v>373</v>
      </c>
      <c r="Q1600" s="361">
        <f t="shared" si="248"/>
        <v>74.599999999999994</v>
      </c>
    </row>
    <row r="1601" spans="2:17" x14ac:dyDescent="0.2">
      <c r="B1601" s="18">
        <f t="shared" si="249"/>
        <v>5</v>
      </c>
      <c r="C1601" s="3"/>
      <c r="D1601" s="3"/>
      <c r="E1601" s="3"/>
      <c r="F1601" s="90" t="s">
        <v>192</v>
      </c>
      <c r="G1601" s="2">
        <v>710</v>
      </c>
      <c r="H1601" s="3" t="s">
        <v>175</v>
      </c>
      <c r="I1601" s="4"/>
      <c r="J1601" s="4"/>
      <c r="K1601" s="361"/>
      <c r="L1601" s="4">
        <f>L1602+L1604</f>
        <v>605000</v>
      </c>
      <c r="M1601" s="4">
        <f>M1602+M1604</f>
        <v>530984</v>
      </c>
      <c r="N1601" s="361">
        <f t="shared" ref="N1601:N1608" si="250">M1601/L1601*100</f>
        <v>87.765950413223138</v>
      </c>
      <c r="O1601" s="92">
        <f t="shared" si="246"/>
        <v>605000</v>
      </c>
      <c r="P1601" s="92">
        <f t="shared" si="247"/>
        <v>530984</v>
      </c>
      <c r="Q1601" s="361">
        <f t="shared" si="248"/>
        <v>87.765950413223138</v>
      </c>
    </row>
    <row r="1602" spans="2:17" x14ac:dyDescent="0.2">
      <c r="B1602" s="18">
        <f t="shared" si="249"/>
        <v>6</v>
      </c>
      <c r="C1602" s="6"/>
      <c r="D1602" s="6"/>
      <c r="E1602" s="6"/>
      <c r="F1602" s="93"/>
      <c r="G1602" s="5">
        <v>716</v>
      </c>
      <c r="H1602" s="6" t="s">
        <v>215</v>
      </c>
      <c r="I1602" s="7"/>
      <c r="J1602" s="7"/>
      <c r="K1602" s="361"/>
      <c r="L1602" s="7">
        <f>SUM(L1603:L1603)</f>
        <v>45000</v>
      </c>
      <c r="M1602" s="7">
        <f>SUM(M1603:M1603)</f>
        <v>0</v>
      </c>
      <c r="N1602" s="361">
        <f t="shared" si="250"/>
        <v>0</v>
      </c>
      <c r="O1602" s="95">
        <f t="shared" si="246"/>
        <v>45000</v>
      </c>
      <c r="P1602" s="95">
        <f t="shared" si="247"/>
        <v>0</v>
      </c>
      <c r="Q1602" s="361">
        <f t="shared" si="248"/>
        <v>0</v>
      </c>
    </row>
    <row r="1603" spans="2:17" x14ac:dyDescent="0.2">
      <c r="B1603" s="18">
        <f t="shared" si="249"/>
        <v>7</v>
      </c>
      <c r="C1603" s="67"/>
      <c r="D1603" s="67"/>
      <c r="E1603" s="67"/>
      <c r="F1603" s="8"/>
      <c r="G1603" s="8"/>
      <c r="H1603" s="9" t="s">
        <v>459</v>
      </c>
      <c r="I1603" s="10"/>
      <c r="J1603" s="10"/>
      <c r="K1603" s="361"/>
      <c r="L1603" s="10">
        <v>45000</v>
      </c>
      <c r="M1603" s="10">
        <v>0</v>
      </c>
      <c r="N1603" s="361">
        <f t="shared" si="250"/>
        <v>0</v>
      </c>
      <c r="O1603" s="108">
        <f t="shared" si="246"/>
        <v>45000</v>
      </c>
      <c r="P1603" s="108">
        <f t="shared" si="247"/>
        <v>0</v>
      </c>
      <c r="Q1603" s="361">
        <f t="shared" si="248"/>
        <v>0</v>
      </c>
    </row>
    <row r="1604" spans="2:17" x14ac:dyDescent="0.2">
      <c r="B1604" s="18">
        <f t="shared" si="249"/>
        <v>8</v>
      </c>
      <c r="C1604" s="6"/>
      <c r="D1604" s="6"/>
      <c r="E1604" s="6"/>
      <c r="F1604" s="93"/>
      <c r="G1604" s="5">
        <v>717</v>
      </c>
      <c r="H1604" s="6" t="s">
        <v>182</v>
      </c>
      <c r="I1604" s="7"/>
      <c r="J1604" s="7"/>
      <c r="K1604" s="361"/>
      <c r="L1604" s="7">
        <f>SUM(L1605:L1606)</f>
        <v>560000</v>
      </c>
      <c r="M1604" s="7">
        <f>SUM(M1605:M1606)</f>
        <v>530984</v>
      </c>
      <c r="N1604" s="361">
        <f t="shared" si="250"/>
        <v>94.818571428571431</v>
      </c>
      <c r="O1604" s="95">
        <f t="shared" si="246"/>
        <v>560000</v>
      </c>
      <c r="P1604" s="95">
        <f t="shared" si="247"/>
        <v>530984</v>
      </c>
      <c r="Q1604" s="361">
        <f t="shared" si="248"/>
        <v>94.818571428571431</v>
      </c>
    </row>
    <row r="1605" spans="2:17" x14ac:dyDescent="0.2">
      <c r="B1605" s="18">
        <f t="shared" si="249"/>
        <v>9</v>
      </c>
      <c r="C1605" s="67"/>
      <c r="D1605" s="67"/>
      <c r="E1605" s="67"/>
      <c r="F1605" s="8"/>
      <c r="G1605" s="8"/>
      <c r="H1605" s="9" t="s">
        <v>442</v>
      </c>
      <c r="I1605" s="10"/>
      <c r="J1605" s="10"/>
      <c r="K1605" s="361"/>
      <c r="L1605" s="10">
        <v>105000</v>
      </c>
      <c r="M1605" s="10">
        <v>76151</v>
      </c>
      <c r="N1605" s="361">
        <f t="shared" si="250"/>
        <v>72.524761904761903</v>
      </c>
      <c r="O1605" s="108">
        <f t="shared" si="246"/>
        <v>105000</v>
      </c>
      <c r="P1605" s="108">
        <f t="shared" si="247"/>
        <v>76151</v>
      </c>
      <c r="Q1605" s="361">
        <f t="shared" si="248"/>
        <v>72.524761904761903</v>
      </c>
    </row>
    <row r="1606" spans="2:17" x14ac:dyDescent="0.2">
      <c r="B1606" s="18">
        <f t="shared" si="249"/>
        <v>10</v>
      </c>
      <c r="C1606" s="67"/>
      <c r="D1606" s="67"/>
      <c r="E1606" s="67"/>
      <c r="F1606" s="8"/>
      <c r="G1606" s="8"/>
      <c r="H1606" s="9" t="s">
        <v>460</v>
      </c>
      <c r="I1606" s="10"/>
      <c r="J1606" s="10"/>
      <c r="K1606" s="361"/>
      <c r="L1606" s="10">
        <f>400000+55000</f>
        <v>455000</v>
      </c>
      <c r="M1606" s="10">
        <v>454833</v>
      </c>
      <c r="N1606" s="361">
        <f t="shared" si="250"/>
        <v>99.963296703296706</v>
      </c>
      <c r="O1606" s="108">
        <f t="shared" si="246"/>
        <v>455000</v>
      </c>
      <c r="P1606" s="108">
        <f t="shared" si="247"/>
        <v>454833</v>
      </c>
      <c r="Q1606" s="361">
        <f t="shared" si="248"/>
        <v>99.963296703296706</v>
      </c>
    </row>
    <row r="1607" spans="2:17" ht="15" x14ac:dyDescent="0.25">
      <c r="B1607" s="18">
        <f t="shared" si="249"/>
        <v>11</v>
      </c>
      <c r="C1607" s="176"/>
      <c r="D1607" s="176"/>
      <c r="E1607" s="176">
        <v>2</v>
      </c>
      <c r="F1607" s="177"/>
      <c r="G1607" s="177"/>
      <c r="H1607" s="176" t="s">
        <v>11</v>
      </c>
      <c r="I1607" s="178">
        <f>I1608+I1622</f>
        <v>1577680</v>
      </c>
      <c r="J1607" s="178">
        <f>J1608+J1622</f>
        <v>1417434</v>
      </c>
      <c r="K1607" s="361">
        <f t="shared" ref="K1607:K1618" si="251">J1607/I1607*100</f>
        <v>89.842933928299786</v>
      </c>
      <c r="L1607" s="178">
        <f>L1608+L1622</f>
        <v>335800</v>
      </c>
      <c r="M1607" s="178">
        <f>M1608+M1622</f>
        <v>161527</v>
      </c>
      <c r="N1607" s="361">
        <f t="shared" si="250"/>
        <v>48.102144133412743</v>
      </c>
      <c r="O1607" s="179">
        <f t="shared" si="246"/>
        <v>1913480</v>
      </c>
      <c r="P1607" s="179">
        <f t="shared" si="247"/>
        <v>1578961</v>
      </c>
      <c r="Q1607" s="361">
        <f t="shared" si="248"/>
        <v>82.517768672784669</v>
      </c>
    </row>
    <row r="1608" spans="2:17" x14ac:dyDescent="0.2">
      <c r="B1608" s="18">
        <f t="shared" si="249"/>
        <v>12</v>
      </c>
      <c r="C1608" s="190"/>
      <c r="D1608" s="190"/>
      <c r="E1608" s="190"/>
      <c r="F1608" s="191"/>
      <c r="G1608" s="191"/>
      <c r="H1608" s="190" t="s">
        <v>340</v>
      </c>
      <c r="I1608" s="192">
        <f>I1609+I1610+I1611+I1618</f>
        <v>363575</v>
      </c>
      <c r="J1608" s="192">
        <f>J1609+J1610+J1611+J1618</f>
        <v>305006</v>
      </c>
      <c r="K1608" s="361">
        <f t="shared" si="251"/>
        <v>83.890806573609296</v>
      </c>
      <c r="L1608" s="192">
        <f>L1619</f>
        <v>335800</v>
      </c>
      <c r="M1608" s="192">
        <f>M1619</f>
        <v>161527</v>
      </c>
      <c r="N1608" s="361">
        <f t="shared" si="250"/>
        <v>48.102144133412743</v>
      </c>
      <c r="O1608" s="193">
        <f t="shared" si="246"/>
        <v>699375</v>
      </c>
      <c r="P1608" s="193">
        <f t="shared" si="247"/>
        <v>466533</v>
      </c>
      <c r="Q1608" s="361">
        <f t="shared" si="248"/>
        <v>66.70713136729222</v>
      </c>
    </row>
    <row r="1609" spans="2:17" x14ac:dyDescent="0.2">
      <c r="B1609" s="18">
        <f t="shared" si="249"/>
        <v>13</v>
      </c>
      <c r="C1609" s="3"/>
      <c r="D1609" s="3"/>
      <c r="E1609" s="3"/>
      <c r="F1609" s="90" t="s">
        <v>231</v>
      </c>
      <c r="G1609" s="2">
        <v>610</v>
      </c>
      <c r="H1609" s="3" t="s">
        <v>131</v>
      </c>
      <c r="I1609" s="4">
        <f>35100+81700</f>
        <v>116800</v>
      </c>
      <c r="J1609" s="4">
        <f>34074+66730</f>
        <v>100804</v>
      </c>
      <c r="K1609" s="361">
        <f t="shared" si="251"/>
        <v>86.304794520547944</v>
      </c>
      <c r="L1609" s="4"/>
      <c r="M1609" s="4"/>
      <c r="N1609" s="361"/>
      <c r="O1609" s="92">
        <f t="shared" si="246"/>
        <v>116800</v>
      </c>
      <c r="P1609" s="92">
        <f t="shared" si="247"/>
        <v>100804</v>
      </c>
      <c r="Q1609" s="361">
        <f t="shared" si="248"/>
        <v>86.304794520547944</v>
      </c>
    </row>
    <row r="1610" spans="2:17" x14ac:dyDescent="0.2">
      <c r="B1610" s="18">
        <f t="shared" si="249"/>
        <v>14</v>
      </c>
      <c r="C1610" s="3"/>
      <c r="D1610" s="3"/>
      <c r="E1610" s="3"/>
      <c r="F1610" s="90" t="s">
        <v>231</v>
      </c>
      <c r="G1610" s="2">
        <v>620</v>
      </c>
      <c r="H1610" s="3" t="s">
        <v>124</v>
      </c>
      <c r="I1610" s="4">
        <f>15900+29055</f>
        <v>44955</v>
      </c>
      <c r="J1610" s="4">
        <f>12760+24052</f>
        <v>36812</v>
      </c>
      <c r="K1610" s="361">
        <f t="shared" si="251"/>
        <v>81.886330775219662</v>
      </c>
      <c r="L1610" s="4"/>
      <c r="M1610" s="4"/>
      <c r="N1610" s="361"/>
      <c r="O1610" s="92">
        <f t="shared" si="246"/>
        <v>44955</v>
      </c>
      <c r="P1610" s="92">
        <f t="shared" si="247"/>
        <v>36812</v>
      </c>
      <c r="Q1610" s="361">
        <f t="shared" si="248"/>
        <v>81.886330775219662</v>
      </c>
    </row>
    <row r="1611" spans="2:17" x14ac:dyDescent="0.2">
      <c r="B1611" s="18">
        <f t="shared" si="249"/>
        <v>15</v>
      </c>
      <c r="C1611" s="3"/>
      <c r="D1611" s="3"/>
      <c r="E1611" s="3"/>
      <c r="F1611" s="90" t="s">
        <v>231</v>
      </c>
      <c r="G1611" s="2">
        <v>630</v>
      </c>
      <c r="H1611" s="3" t="s">
        <v>121</v>
      </c>
      <c r="I1611" s="4">
        <f>I1617+I1616+I1615+I1614+I1613+I1612</f>
        <v>192400</v>
      </c>
      <c r="J1611" s="4">
        <f>J1617+J1616+J1615+J1614+J1613+J1612</f>
        <v>159789</v>
      </c>
      <c r="K1611" s="361">
        <f t="shared" si="251"/>
        <v>83.050415800415806</v>
      </c>
      <c r="L1611" s="4"/>
      <c r="M1611" s="4"/>
      <c r="N1611" s="361"/>
      <c r="O1611" s="92">
        <f t="shared" si="246"/>
        <v>192400</v>
      </c>
      <c r="P1611" s="92">
        <f t="shared" si="247"/>
        <v>159789</v>
      </c>
      <c r="Q1611" s="361">
        <f t="shared" si="248"/>
        <v>83.050415800415806</v>
      </c>
    </row>
    <row r="1612" spans="2:17" x14ac:dyDescent="0.2">
      <c r="B1612" s="18">
        <f t="shared" si="249"/>
        <v>16</v>
      </c>
      <c r="C1612" s="6"/>
      <c r="D1612" s="6"/>
      <c r="E1612" s="6"/>
      <c r="F1612" s="93"/>
      <c r="G1612" s="5">
        <v>632</v>
      </c>
      <c r="H1612" s="6" t="s">
        <v>134</v>
      </c>
      <c r="I1612" s="7">
        <v>3500</v>
      </c>
      <c r="J1612" s="7">
        <f>1641+915</f>
        <v>2556</v>
      </c>
      <c r="K1612" s="361">
        <f t="shared" si="251"/>
        <v>73.028571428571425</v>
      </c>
      <c r="L1612" s="7"/>
      <c r="M1612" s="7"/>
      <c r="N1612" s="361"/>
      <c r="O1612" s="95">
        <f t="shared" si="246"/>
        <v>3500</v>
      </c>
      <c r="P1612" s="95">
        <f t="shared" si="247"/>
        <v>2556</v>
      </c>
      <c r="Q1612" s="361">
        <f t="shared" si="248"/>
        <v>73.028571428571425</v>
      </c>
    </row>
    <row r="1613" spans="2:17" x14ac:dyDescent="0.2">
      <c r="B1613" s="18">
        <f t="shared" si="249"/>
        <v>17</v>
      </c>
      <c r="C1613" s="6"/>
      <c r="D1613" s="6"/>
      <c r="E1613" s="6"/>
      <c r="F1613" s="93"/>
      <c r="G1613" s="5">
        <v>633</v>
      </c>
      <c r="H1613" s="6" t="s">
        <v>125</v>
      </c>
      <c r="I1613" s="7">
        <v>20000</v>
      </c>
      <c r="J1613" s="7">
        <f>4470+10138</f>
        <v>14608</v>
      </c>
      <c r="K1613" s="361">
        <f t="shared" si="251"/>
        <v>73.040000000000006</v>
      </c>
      <c r="L1613" s="7"/>
      <c r="M1613" s="7"/>
      <c r="N1613" s="361"/>
      <c r="O1613" s="95">
        <f t="shared" si="246"/>
        <v>20000</v>
      </c>
      <c r="P1613" s="95">
        <f t="shared" si="247"/>
        <v>14608</v>
      </c>
      <c r="Q1613" s="361">
        <f t="shared" si="248"/>
        <v>73.040000000000006</v>
      </c>
    </row>
    <row r="1614" spans="2:17" x14ac:dyDescent="0.2">
      <c r="B1614" s="18">
        <f t="shared" si="249"/>
        <v>18</v>
      </c>
      <c r="C1614" s="6"/>
      <c r="D1614" s="6"/>
      <c r="E1614" s="6"/>
      <c r="F1614" s="93"/>
      <c r="G1614" s="5">
        <v>634</v>
      </c>
      <c r="H1614" s="6" t="s">
        <v>132</v>
      </c>
      <c r="I1614" s="7">
        <f>2500+2500+1390+3000+110+200</f>
        <v>9700</v>
      </c>
      <c r="J1614" s="7">
        <f>3288+1796</f>
        <v>5084</v>
      </c>
      <c r="K1614" s="361">
        <f t="shared" si="251"/>
        <v>52.412371134020617</v>
      </c>
      <c r="L1614" s="7"/>
      <c r="M1614" s="7"/>
      <c r="N1614" s="361"/>
      <c r="O1614" s="95">
        <f t="shared" si="246"/>
        <v>9700</v>
      </c>
      <c r="P1614" s="95">
        <f t="shared" si="247"/>
        <v>5084</v>
      </c>
      <c r="Q1614" s="361">
        <f t="shared" si="248"/>
        <v>52.412371134020617</v>
      </c>
    </row>
    <row r="1615" spans="2:17" x14ac:dyDescent="0.2">
      <c r="B1615" s="18">
        <f t="shared" si="249"/>
        <v>19</v>
      </c>
      <c r="C1615" s="6"/>
      <c r="D1615" s="6"/>
      <c r="E1615" s="6"/>
      <c r="F1615" s="93"/>
      <c r="G1615" s="5">
        <v>635</v>
      </c>
      <c r="H1615" s="6" t="s">
        <v>133</v>
      </c>
      <c r="I1615" s="7">
        <f>34000-1500</f>
        <v>32500</v>
      </c>
      <c r="J1615" s="7">
        <f>17793+7498</f>
        <v>25291</v>
      </c>
      <c r="K1615" s="361">
        <f t="shared" si="251"/>
        <v>77.818461538461534</v>
      </c>
      <c r="L1615" s="7"/>
      <c r="M1615" s="7"/>
      <c r="N1615" s="361"/>
      <c r="O1615" s="95">
        <f t="shared" si="246"/>
        <v>32500</v>
      </c>
      <c r="P1615" s="95">
        <f t="shared" si="247"/>
        <v>25291</v>
      </c>
      <c r="Q1615" s="361">
        <f t="shared" si="248"/>
        <v>77.818461538461534</v>
      </c>
    </row>
    <row r="1616" spans="2:17" x14ac:dyDescent="0.2">
      <c r="B1616" s="18">
        <f t="shared" si="249"/>
        <v>20</v>
      </c>
      <c r="C1616" s="6"/>
      <c r="D1616" s="6"/>
      <c r="E1616" s="6"/>
      <c r="F1616" s="93"/>
      <c r="G1616" s="5">
        <v>636</v>
      </c>
      <c r="H1616" s="6" t="s">
        <v>126</v>
      </c>
      <c r="I1616" s="7">
        <f>100+3600</f>
        <v>3700</v>
      </c>
      <c r="J1616" s="7">
        <f>2980+34</f>
        <v>3014</v>
      </c>
      <c r="K1616" s="361">
        <f t="shared" si="251"/>
        <v>81.459459459459467</v>
      </c>
      <c r="L1616" s="7"/>
      <c r="M1616" s="7"/>
      <c r="N1616" s="361"/>
      <c r="O1616" s="95">
        <f t="shared" si="246"/>
        <v>3700</v>
      </c>
      <c r="P1616" s="95">
        <f t="shared" si="247"/>
        <v>3014</v>
      </c>
      <c r="Q1616" s="361">
        <f t="shared" si="248"/>
        <v>81.459459459459467</v>
      </c>
    </row>
    <row r="1617" spans="2:20" x14ac:dyDescent="0.2">
      <c r="B1617" s="18">
        <f t="shared" si="249"/>
        <v>21</v>
      </c>
      <c r="C1617" s="6"/>
      <c r="D1617" s="6"/>
      <c r="E1617" s="6"/>
      <c r="F1617" s="93"/>
      <c r="G1617" s="5">
        <v>637</v>
      </c>
      <c r="H1617" s="6" t="s">
        <v>122</v>
      </c>
      <c r="I1617" s="7">
        <f>98000+25000</f>
        <v>123000</v>
      </c>
      <c r="J1617" s="7">
        <f>17827+91409</f>
        <v>109236</v>
      </c>
      <c r="K1617" s="361">
        <f t="shared" si="251"/>
        <v>88.809756097560978</v>
      </c>
      <c r="L1617" s="7"/>
      <c r="M1617" s="7"/>
      <c r="N1617" s="361"/>
      <c r="O1617" s="95">
        <f t="shared" si="246"/>
        <v>123000</v>
      </c>
      <c r="P1617" s="95">
        <f t="shared" si="247"/>
        <v>109236</v>
      </c>
      <c r="Q1617" s="361">
        <f t="shared" si="248"/>
        <v>88.809756097560978</v>
      </c>
    </row>
    <row r="1618" spans="2:20" s="122" customFormat="1" x14ac:dyDescent="0.2">
      <c r="B1618" s="18">
        <f t="shared" si="249"/>
        <v>22</v>
      </c>
      <c r="C1618" s="3"/>
      <c r="D1618" s="3"/>
      <c r="E1618" s="3"/>
      <c r="F1618" s="90" t="s">
        <v>231</v>
      </c>
      <c r="G1618" s="2">
        <v>640</v>
      </c>
      <c r="H1618" s="3" t="s">
        <v>129</v>
      </c>
      <c r="I1618" s="4">
        <f>200+2720+1400+3500+500+800+300</f>
        <v>9420</v>
      </c>
      <c r="J1618" s="4">
        <f>3363+4238</f>
        <v>7601</v>
      </c>
      <c r="K1618" s="361">
        <f t="shared" si="251"/>
        <v>80.690021231422506</v>
      </c>
      <c r="L1618" s="4"/>
      <c r="M1618" s="4"/>
      <c r="N1618" s="361"/>
      <c r="O1618" s="92">
        <f t="shared" si="246"/>
        <v>9420</v>
      </c>
      <c r="P1618" s="92">
        <f t="shared" si="247"/>
        <v>7601</v>
      </c>
      <c r="Q1618" s="361">
        <f t="shared" si="248"/>
        <v>80.690021231422506</v>
      </c>
    </row>
    <row r="1619" spans="2:20" x14ac:dyDescent="0.2">
      <c r="B1619" s="18">
        <f t="shared" si="249"/>
        <v>23</v>
      </c>
      <c r="C1619" s="3"/>
      <c r="D1619" s="3"/>
      <c r="E1619" s="3"/>
      <c r="F1619" s="90"/>
      <c r="G1619" s="2">
        <v>710</v>
      </c>
      <c r="H1619" s="3" t="s">
        <v>175</v>
      </c>
      <c r="I1619" s="4"/>
      <c r="J1619" s="4"/>
      <c r="K1619" s="361"/>
      <c r="L1619" s="4">
        <f>L1620+L1622</f>
        <v>335800</v>
      </c>
      <c r="M1619" s="4">
        <f>M1620+M1622</f>
        <v>161527</v>
      </c>
      <c r="N1619" s="361">
        <f>M1619/L1619*100</f>
        <v>48.102144133412743</v>
      </c>
      <c r="O1619" s="92">
        <f t="shared" si="246"/>
        <v>335800</v>
      </c>
      <c r="P1619" s="92">
        <f t="shared" si="247"/>
        <v>161527</v>
      </c>
      <c r="Q1619" s="361">
        <f t="shared" si="248"/>
        <v>48.102144133412743</v>
      </c>
    </row>
    <row r="1620" spans="2:20" x14ac:dyDescent="0.2">
      <c r="B1620" s="18">
        <f t="shared" si="249"/>
        <v>24</v>
      </c>
      <c r="C1620" s="3"/>
      <c r="D1620" s="3"/>
      <c r="E1620" s="3"/>
      <c r="F1620" s="90"/>
      <c r="G1620" s="5">
        <v>717</v>
      </c>
      <c r="H1620" s="6" t="s">
        <v>182</v>
      </c>
      <c r="I1620" s="7"/>
      <c r="J1620" s="7"/>
      <c r="K1620" s="361"/>
      <c r="L1620" s="7">
        <f>SUM(L1621:L1622)</f>
        <v>335800</v>
      </c>
      <c r="M1620" s="7">
        <f>SUM(M1621:M1622)</f>
        <v>161527</v>
      </c>
      <c r="N1620" s="361">
        <f>M1620/L1620*100</f>
        <v>48.102144133412743</v>
      </c>
      <c r="O1620" s="95">
        <f t="shared" si="246"/>
        <v>335800</v>
      </c>
      <c r="P1620" s="95">
        <f t="shared" si="247"/>
        <v>161527</v>
      </c>
      <c r="Q1620" s="361">
        <f t="shared" si="248"/>
        <v>48.102144133412743</v>
      </c>
    </row>
    <row r="1621" spans="2:20" s="22" customFormat="1" ht="24" x14ac:dyDescent="0.2">
      <c r="B1621" s="18">
        <f t="shared" si="249"/>
        <v>25</v>
      </c>
      <c r="C1621" s="385"/>
      <c r="D1621" s="385"/>
      <c r="E1621" s="385"/>
      <c r="F1621" s="386"/>
      <c r="G1621" s="268"/>
      <c r="H1621" s="102" t="s">
        <v>599</v>
      </c>
      <c r="I1621" s="103"/>
      <c r="J1621" s="103"/>
      <c r="K1621" s="380"/>
      <c r="L1621" s="103">
        <v>335800</v>
      </c>
      <c r="M1621" s="103">
        <v>161527</v>
      </c>
      <c r="N1621" s="380">
        <f>M1621/L1621*100</f>
        <v>48.102144133412743</v>
      </c>
      <c r="O1621" s="105">
        <f t="shared" si="246"/>
        <v>335800</v>
      </c>
      <c r="P1621" s="105">
        <f t="shared" si="247"/>
        <v>161527</v>
      </c>
      <c r="Q1621" s="380">
        <f t="shared" si="248"/>
        <v>48.102144133412743</v>
      </c>
    </row>
    <row r="1622" spans="2:20" x14ac:dyDescent="0.2">
      <c r="B1622" s="18">
        <f t="shared" si="249"/>
        <v>26</v>
      </c>
      <c r="C1622" s="190"/>
      <c r="D1622" s="190"/>
      <c r="E1622" s="190"/>
      <c r="F1622" s="191"/>
      <c r="G1622" s="191"/>
      <c r="H1622" s="190" t="s">
        <v>193</v>
      </c>
      <c r="I1622" s="192">
        <f>I1623+I1624+I1625+I1631</f>
        <v>1214105</v>
      </c>
      <c r="J1622" s="192">
        <f>J1623+J1624+J1625+J1631</f>
        <v>1112428</v>
      </c>
      <c r="K1622" s="361">
        <f t="shared" ref="K1622:K1637" si="252">J1622/I1622*100</f>
        <v>91.625353655573448</v>
      </c>
      <c r="L1622" s="192"/>
      <c r="M1622" s="192"/>
      <c r="N1622" s="361"/>
      <c r="O1622" s="193">
        <f t="shared" si="246"/>
        <v>1214105</v>
      </c>
      <c r="P1622" s="193">
        <f t="shared" si="247"/>
        <v>1112428</v>
      </c>
      <c r="Q1622" s="361">
        <f t="shared" si="248"/>
        <v>91.625353655573448</v>
      </c>
    </row>
    <row r="1623" spans="2:20" x14ac:dyDescent="0.2">
      <c r="B1623" s="18">
        <f t="shared" si="249"/>
        <v>27</v>
      </c>
      <c r="C1623" s="3"/>
      <c r="D1623" s="3"/>
      <c r="E1623" s="3"/>
      <c r="F1623" s="90" t="s">
        <v>192</v>
      </c>
      <c r="G1623" s="2">
        <v>610</v>
      </c>
      <c r="H1623" s="3" t="s">
        <v>131</v>
      </c>
      <c r="I1623" s="4">
        <v>210500</v>
      </c>
      <c r="J1623" s="4">
        <v>205187</v>
      </c>
      <c r="K1623" s="361">
        <f t="shared" si="252"/>
        <v>97.476009501187647</v>
      </c>
      <c r="L1623" s="4"/>
      <c r="M1623" s="4"/>
      <c r="N1623" s="361"/>
      <c r="O1623" s="92">
        <f t="shared" si="246"/>
        <v>210500</v>
      </c>
      <c r="P1623" s="92">
        <f t="shared" si="247"/>
        <v>205187</v>
      </c>
      <c r="Q1623" s="361">
        <f t="shared" si="248"/>
        <v>97.476009501187647</v>
      </c>
    </row>
    <row r="1624" spans="2:20" x14ac:dyDescent="0.2">
      <c r="B1624" s="18">
        <f t="shared" si="249"/>
        <v>28</v>
      </c>
      <c r="C1624" s="3"/>
      <c r="D1624" s="3"/>
      <c r="E1624" s="3"/>
      <c r="F1624" s="90" t="s">
        <v>192</v>
      </c>
      <c r="G1624" s="2">
        <v>620</v>
      </c>
      <c r="H1624" s="3" t="s">
        <v>124</v>
      </c>
      <c r="I1624" s="4">
        <v>82150</v>
      </c>
      <c r="J1624" s="4">
        <v>75850</v>
      </c>
      <c r="K1624" s="361">
        <f t="shared" si="252"/>
        <v>92.331101643335373</v>
      </c>
      <c r="L1624" s="4"/>
      <c r="M1624" s="4"/>
      <c r="N1624" s="361"/>
      <c r="O1624" s="92">
        <f t="shared" si="246"/>
        <v>82150</v>
      </c>
      <c r="P1624" s="92">
        <f t="shared" si="247"/>
        <v>75850</v>
      </c>
      <c r="Q1624" s="361">
        <f t="shared" si="248"/>
        <v>92.331101643335373</v>
      </c>
    </row>
    <row r="1625" spans="2:20" x14ac:dyDescent="0.2">
      <c r="B1625" s="18">
        <f t="shared" si="249"/>
        <v>29</v>
      </c>
      <c r="C1625" s="3"/>
      <c r="D1625" s="3"/>
      <c r="E1625" s="3"/>
      <c r="F1625" s="90"/>
      <c r="G1625" s="2">
        <v>630</v>
      </c>
      <c r="H1625" s="3" t="s">
        <v>121</v>
      </c>
      <c r="I1625" s="4">
        <f>I1630+I1629+I1628+I1627+I1626</f>
        <v>907755</v>
      </c>
      <c r="J1625" s="4">
        <f>J1630+J1629+J1628+J1627+J1626</f>
        <v>819620</v>
      </c>
      <c r="K1625" s="361">
        <f t="shared" si="252"/>
        <v>90.290882451762869</v>
      </c>
      <c r="L1625" s="4"/>
      <c r="M1625" s="4"/>
      <c r="N1625" s="361"/>
      <c r="O1625" s="92">
        <f t="shared" si="246"/>
        <v>907755</v>
      </c>
      <c r="P1625" s="92">
        <f t="shared" si="247"/>
        <v>819620</v>
      </c>
      <c r="Q1625" s="361">
        <f t="shared" si="248"/>
        <v>90.290882451762869</v>
      </c>
    </row>
    <row r="1626" spans="2:20" x14ac:dyDescent="0.2">
      <c r="B1626" s="18">
        <f t="shared" si="249"/>
        <v>30</v>
      </c>
      <c r="C1626" s="6"/>
      <c r="D1626" s="6"/>
      <c r="E1626" s="6"/>
      <c r="F1626" s="93"/>
      <c r="G1626" s="5">
        <v>633</v>
      </c>
      <c r="H1626" s="6" t="s">
        <v>125</v>
      </c>
      <c r="I1626" s="7">
        <f>6000+353500+2000+12000-200000</f>
        <v>173500</v>
      </c>
      <c r="J1626" s="7">
        <v>170104</v>
      </c>
      <c r="K1626" s="361">
        <f t="shared" si="252"/>
        <v>98.042651296829973</v>
      </c>
      <c r="L1626" s="7"/>
      <c r="M1626" s="7"/>
      <c r="N1626" s="361"/>
      <c r="O1626" s="95">
        <f t="shared" si="246"/>
        <v>173500</v>
      </c>
      <c r="P1626" s="95">
        <f t="shared" si="247"/>
        <v>170104</v>
      </c>
      <c r="Q1626" s="361">
        <f t="shared" si="248"/>
        <v>98.042651296829973</v>
      </c>
    </row>
    <row r="1627" spans="2:20" x14ac:dyDescent="0.2">
      <c r="B1627" s="18">
        <f t="shared" si="249"/>
        <v>31</v>
      </c>
      <c r="C1627" s="6"/>
      <c r="D1627" s="6"/>
      <c r="E1627" s="6"/>
      <c r="F1627" s="93"/>
      <c r="G1627" s="5">
        <v>634</v>
      </c>
      <c r="H1627" s="6" t="s">
        <v>132</v>
      </c>
      <c r="I1627" s="7">
        <f>20000+15000+3000+200</f>
        <v>38200</v>
      </c>
      <c r="J1627" s="7">
        <v>33878</v>
      </c>
      <c r="K1627" s="361">
        <f t="shared" si="252"/>
        <v>88.685863874345543</v>
      </c>
      <c r="L1627" s="7"/>
      <c r="M1627" s="7"/>
      <c r="N1627" s="361"/>
      <c r="O1627" s="95">
        <f t="shared" si="246"/>
        <v>38200</v>
      </c>
      <c r="P1627" s="95">
        <f t="shared" si="247"/>
        <v>33878</v>
      </c>
      <c r="Q1627" s="361">
        <f t="shared" si="248"/>
        <v>88.685863874345543</v>
      </c>
    </row>
    <row r="1628" spans="2:20" x14ac:dyDescent="0.2">
      <c r="B1628" s="18">
        <f t="shared" si="249"/>
        <v>32</v>
      </c>
      <c r="C1628" s="6"/>
      <c r="D1628" s="6"/>
      <c r="E1628" s="6"/>
      <c r="F1628" s="93"/>
      <c r="G1628" s="5">
        <v>635</v>
      </c>
      <c r="H1628" s="6" t="s">
        <v>133</v>
      </c>
      <c r="I1628" s="7">
        <f>18000+1152130-280935-260000-50000+20000+30000</f>
        <v>629195</v>
      </c>
      <c r="J1628" s="7">
        <v>586343</v>
      </c>
      <c r="K1628" s="361">
        <f t="shared" si="252"/>
        <v>93.18939279555623</v>
      </c>
      <c r="L1628" s="7"/>
      <c r="M1628" s="7"/>
      <c r="N1628" s="361"/>
      <c r="O1628" s="95">
        <f t="shared" si="246"/>
        <v>629195</v>
      </c>
      <c r="P1628" s="95">
        <f t="shared" si="247"/>
        <v>586343</v>
      </c>
      <c r="Q1628" s="361">
        <f t="shared" si="248"/>
        <v>93.18939279555623</v>
      </c>
    </row>
    <row r="1629" spans="2:20" x14ac:dyDescent="0.2">
      <c r="B1629" s="18">
        <f t="shared" si="249"/>
        <v>33</v>
      </c>
      <c r="C1629" s="6"/>
      <c r="D1629" s="6"/>
      <c r="E1629" s="6"/>
      <c r="F1629" s="93"/>
      <c r="G1629" s="5">
        <v>636</v>
      </c>
      <c r="H1629" s="6" t="s">
        <v>126</v>
      </c>
      <c r="I1629" s="7">
        <v>500</v>
      </c>
      <c r="J1629" s="7">
        <v>0</v>
      </c>
      <c r="K1629" s="361">
        <f t="shared" si="252"/>
        <v>0</v>
      </c>
      <c r="L1629" s="7"/>
      <c r="M1629" s="7"/>
      <c r="N1629" s="361"/>
      <c r="O1629" s="95">
        <f t="shared" ref="O1629:O1660" si="253">I1629+L1629</f>
        <v>500</v>
      </c>
      <c r="P1629" s="95">
        <f t="shared" ref="P1629:P1660" si="254">J1629+M1629</f>
        <v>0</v>
      </c>
      <c r="Q1629" s="361">
        <f t="shared" ref="Q1629:Q1660" si="255">P1629/O1629*100</f>
        <v>0</v>
      </c>
    </row>
    <row r="1630" spans="2:20" x14ac:dyDescent="0.2">
      <c r="B1630" s="18">
        <f t="shared" ref="B1630:B1661" si="256">B1629+1</f>
        <v>34</v>
      </c>
      <c r="C1630" s="6"/>
      <c r="D1630" s="6"/>
      <c r="E1630" s="6"/>
      <c r="F1630" s="93"/>
      <c r="G1630" s="5">
        <v>637</v>
      </c>
      <c r="H1630" s="6" t="s">
        <v>122</v>
      </c>
      <c r="I1630" s="7">
        <f>1000+12150+4350+2000+1200+3160+12500+30000</f>
        <v>66360</v>
      </c>
      <c r="J1630" s="7">
        <v>29295</v>
      </c>
      <c r="K1630" s="361">
        <f t="shared" si="252"/>
        <v>44.14556962025317</v>
      </c>
      <c r="L1630" s="7"/>
      <c r="M1630" s="7"/>
      <c r="N1630" s="361"/>
      <c r="O1630" s="95">
        <f t="shared" si="253"/>
        <v>66360</v>
      </c>
      <c r="P1630" s="95">
        <f t="shared" si="254"/>
        <v>29295</v>
      </c>
      <c r="Q1630" s="361">
        <f t="shared" si="255"/>
        <v>44.14556962025317</v>
      </c>
    </row>
    <row r="1631" spans="2:20" x14ac:dyDescent="0.2">
      <c r="B1631" s="18">
        <f t="shared" si="256"/>
        <v>35</v>
      </c>
      <c r="C1631" s="3"/>
      <c r="D1631" s="3"/>
      <c r="E1631" s="3"/>
      <c r="F1631" s="90" t="s">
        <v>192</v>
      </c>
      <c r="G1631" s="2">
        <v>640</v>
      </c>
      <c r="H1631" s="3" t="s">
        <v>129</v>
      </c>
      <c r="I1631" s="4">
        <f>4400+9800+1000-1500</f>
        <v>13700</v>
      </c>
      <c r="J1631" s="4">
        <v>11771</v>
      </c>
      <c r="K1631" s="361">
        <f t="shared" si="252"/>
        <v>85.919708029197082</v>
      </c>
      <c r="L1631" s="4"/>
      <c r="M1631" s="4"/>
      <c r="N1631" s="361"/>
      <c r="O1631" s="92">
        <f t="shared" si="253"/>
        <v>13700</v>
      </c>
      <c r="P1631" s="92">
        <f t="shared" si="254"/>
        <v>11771</v>
      </c>
      <c r="Q1631" s="361">
        <f t="shared" si="255"/>
        <v>85.919708029197082</v>
      </c>
    </row>
    <row r="1632" spans="2:20" ht="15" x14ac:dyDescent="0.2">
      <c r="B1632" s="18">
        <f t="shared" si="256"/>
        <v>36</v>
      </c>
      <c r="C1632" s="82">
        <v>2</v>
      </c>
      <c r="D1632" s="495" t="s">
        <v>140</v>
      </c>
      <c r="E1632" s="496"/>
      <c r="F1632" s="496"/>
      <c r="G1632" s="496"/>
      <c r="H1632" s="496"/>
      <c r="I1632" s="83">
        <f>I1647+I1633</f>
        <v>3524300</v>
      </c>
      <c r="J1632" s="83">
        <f>J1647+J1633</f>
        <v>2903382</v>
      </c>
      <c r="K1632" s="361">
        <f t="shared" si="252"/>
        <v>82.381806316147888</v>
      </c>
      <c r="L1632" s="83">
        <f>L1633</f>
        <v>674900</v>
      </c>
      <c r="M1632" s="83">
        <f>M1633</f>
        <v>123027</v>
      </c>
      <c r="N1632" s="361">
        <f>M1632/L1632*100</f>
        <v>18.228922803378278</v>
      </c>
      <c r="O1632" s="99">
        <f t="shared" si="253"/>
        <v>4199200</v>
      </c>
      <c r="P1632" s="99">
        <f t="shared" si="254"/>
        <v>3026409</v>
      </c>
      <c r="Q1632" s="361">
        <f t="shared" si="255"/>
        <v>72.071084968565444</v>
      </c>
      <c r="T1632" s="14"/>
    </row>
    <row r="1633" spans="2:19" ht="15" x14ac:dyDescent="0.25">
      <c r="B1633" s="18">
        <f t="shared" si="256"/>
        <v>37</v>
      </c>
      <c r="C1633" s="96"/>
      <c r="D1633" s="96">
        <v>1</v>
      </c>
      <c r="E1633" s="497" t="s">
        <v>139</v>
      </c>
      <c r="F1633" s="498"/>
      <c r="G1633" s="498"/>
      <c r="H1633" s="498"/>
      <c r="I1633" s="97">
        <f>I1634</f>
        <v>3522000</v>
      </c>
      <c r="J1633" s="97">
        <f>J1634</f>
        <v>2901082</v>
      </c>
      <c r="K1633" s="361">
        <f t="shared" si="252"/>
        <v>82.370300965360585</v>
      </c>
      <c r="L1633" s="97">
        <f>L1638</f>
        <v>674900</v>
      </c>
      <c r="M1633" s="97">
        <f>M1638</f>
        <v>123027</v>
      </c>
      <c r="N1633" s="361">
        <f>M1633/L1633*100</f>
        <v>18.228922803378278</v>
      </c>
      <c r="O1633" s="98">
        <f t="shared" si="253"/>
        <v>4196900</v>
      </c>
      <c r="P1633" s="98">
        <f t="shared" si="254"/>
        <v>3024109</v>
      </c>
      <c r="Q1633" s="361">
        <f t="shared" si="255"/>
        <v>72.055779265648454</v>
      </c>
    </row>
    <row r="1634" spans="2:19" x14ac:dyDescent="0.2">
      <c r="B1634" s="18">
        <f t="shared" si="256"/>
        <v>38</v>
      </c>
      <c r="C1634" s="3"/>
      <c r="D1634" s="3"/>
      <c r="E1634" s="3"/>
      <c r="F1634" s="90" t="s">
        <v>138</v>
      </c>
      <c r="G1634" s="2">
        <v>630</v>
      </c>
      <c r="H1634" s="3" t="s">
        <v>121</v>
      </c>
      <c r="I1634" s="4">
        <f>SUM(I1635:I1637)</f>
        <v>3522000</v>
      </c>
      <c r="J1634" s="4">
        <f>SUM(J1635:J1637)</f>
        <v>2901082</v>
      </c>
      <c r="K1634" s="361">
        <f t="shared" si="252"/>
        <v>82.370300965360585</v>
      </c>
      <c r="L1634" s="4"/>
      <c r="M1634" s="4"/>
      <c r="N1634" s="361"/>
      <c r="O1634" s="92">
        <f t="shared" si="253"/>
        <v>3522000</v>
      </c>
      <c r="P1634" s="92">
        <f t="shared" si="254"/>
        <v>2901082</v>
      </c>
      <c r="Q1634" s="361">
        <f t="shared" si="255"/>
        <v>82.370300965360585</v>
      </c>
    </row>
    <row r="1635" spans="2:19" x14ac:dyDescent="0.2">
      <c r="B1635" s="18">
        <f t="shared" si="256"/>
        <v>39</v>
      </c>
      <c r="C1635" s="6"/>
      <c r="D1635" s="6"/>
      <c r="E1635" s="6"/>
      <c r="F1635" s="93"/>
      <c r="G1635" s="5">
        <v>635</v>
      </c>
      <c r="H1635" s="6" t="s">
        <v>133</v>
      </c>
      <c r="I1635" s="7">
        <v>4000</v>
      </c>
      <c r="J1635" s="7">
        <v>3641</v>
      </c>
      <c r="K1635" s="361">
        <f t="shared" si="252"/>
        <v>91.025000000000006</v>
      </c>
      <c r="L1635" s="7"/>
      <c r="M1635" s="7"/>
      <c r="N1635" s="361"/>
      <c r="O1635" s="95">
        <f t="shared" si="253"/>
        <v>4000</v>
      </c>
      <c r="P1635" s="95">
        <f t="shared" si="254"/>
        <v>3641</v>
      </c>
      <c r="Q1635" s="361">
        <f t="shared" si="255"/>
        <v>91.025000000000006</v>
      </c>
    </row>
    <row r="1636" spans="2:19" x14ac:dyDescent="0.2">
      <c r="B1636" s="18">
        <f t="shared" si="256"/>
        <v>40</v>
      </c>
      <c r="C1636" s="6"/>
      <c r="D1636" s="6"/>
      <c r="E1636" s="6"/>
      <c r="F1636" s="93"/>
      <c r="G1636" s="5">
        <v>637</v>
      </c>
      <c r="H1636" s="6" t="s">
        <v>122</v>
      </c>
      <c r="I1636" s="7">
        <f>3550000-32000-150000</f>
        <v>3368000</v>
      </c>
      <c r="J1636" s="7">
        <v>2897441</v>
      </c>
      <c r="K1636" s="361">
        <f t="shared" si="252"/>
        <v>86.02853325415677</v>
      </c>
      <c r="L1636" s="7"/>
      <c r="M1636" s="7"/>
      <c r="N1636" s="361"/>
      <c r="O1636" s="95">
        <f t="shared" si="253"/>
        <v>3368000</v>
      </c>
      <c r="P1636" s="95">
        <f t="shared" si="254"/>
        <v>2897441</v>
      </c>
      <c r="Q1636" s="361">
        <f t="shared" si="255"/>
        <v>86.02853325415677</v>
      </c>
    </row>
    <row r="1637" spans="2:19" ht="24" x14ac:dyDescent="0.2">
      <c r="B1637" s="18">
        <f t="shared" si="256"/>
        <v>41</v>
      </c>
      <c r="C1637" s="6"/>
      <c r="D1637" s="6"/>
      <c r="E1637" s="6"/>
      <c r="F1637" s="93"/>
      <c r="G1637" s="5">
        <v>637</v>
      </c>
      <c r="H1637" s="337" t="s">
        <v>708</v>
      </c>
      <c r="I1637" s="7">
        <v>150000</v>
      </c>
      <c r="J1637" s="7">
        <v>0</v>
      </c>
      <c r="K1637" s="361">
        <f t="shared" si="252"/>
        <v>0</v>
      </c>
      <c r="L1637" s="7"/>
      <c r="M1637" s="7"/>
      <c r="N1637" s="361"/>
      <c r="O1637" s="95">
        <f t="shared" si="253"/>
        <v>150000</v>
      </c>
      <c r="P1637" s="95">
        <f t="shared" si="254"/>
        <v>0</v>
      </c>
      <c r="Q1637" s="361">
        <f t="shared" si="255"/>
        <v>0</v>
      </c>
    </row>
    <row r="1638" spans="2:19" s="123" customFormat="1" ht="12" x14ac:dyDescent="0.2">
      <c r="B1638" s="18">
        <f t="shared" si="256"/>
        <v>42</v>
      </c>
      <c r="C1638" s="3"/>
      <c r="D1638" s="3"/>
      <c r="E1638" s="3"/>
      <c r="F1638" s="90" t="s">
        <v>138</v>
      </c>
      <c r="G1638" s="2">
        <v>710</v>
      </c>
      <c r="H1638" s="3" t="s">
        <v>175</v>
      </c>
      <c r="I1638" s="4"/>
      <c r="J1638" s="4"/>
      <c r="K1638" s="361"/>
      <c r="L1638" s="4">
        <f>L1639+L1643</f>
        <v>674900</v>
      </c>
      <c r="M1638" s="4">
        <f>M1639+M1643</f>
        <v>123027</v>
      </c>
      <c r="N1638" s="361">
        <f t="shared" ref="N1638:N1646" si="257">M1638/L1638*100</f>
        <v>18.228922803378278</v>
      </c>
      <c r="O1638" s="92">
        <f t="shared" si="253"/>
        <v>674900</v>
      </c>
      <c r="P1638" s="92">
        <f t="shared" si="254"/>
        <v>123027</v>
      </c>
      <c r="Q1638" s="361">
        <f t="shared" si="255"/>
        <v>18.228922803378278</v>
      </c>
      <c r="S1638" s="432"/>
    </row>
    <row r="1639" spans="2:19" s="123" customFormat="1" ht="12" x14ac:dyDescent="0.2">
      <c r="B1639" s="18">
        <f t="shared" si="256"/>
        <v>43</v>
      </c>
      <c r="C1639" s="6"/>
      <c r="D1639" s="6"/>
      <c r="E1639" s="6"/>
      <c r="F1639" s="93"/>
      <c r="G1639" s="5">
        <v>716</v>
      </c>
      <c r="H1639" s="6" t="s">
        <v>215</v>
      </c>
      <c r="I1639" s="7"/>
      <c r="J1639" s="7"/>
      <c r="K1639" s="361"/>
      <c r="L1639" s="7">
        <f>L1640+L1642+L1641</f>
        <v>33500</v>
      </c>
      <c r="M1639" s="7">
        <f>M1640+M1642+M1641</f>
        <v>13717</v>
      </c>
      <c r="N1639" s="361">
        <f t="shared" si="257"/>
        <v>40.94626865671642</v>
      </c>
      <c r="O1639" s="95">
        <f t="shared" si="253"/>
        <v>33500</v>
      </c>
      <c r="P1639" s="95">
        <f t="shared" si="254"/>
        <v>13717</v>
      </c>
      <c r="Q1639" s="361">
        <f t="shared" si="255"/>
        <v>40.94626865671642</v>
      </c>
    </row>
    <row r="1640" spans="2:19" x14ac:dyDescent="0.2">
      <c r="B1640" s="18">
        <f t="shared" si="256"/>
        <v>44</v>
      </c>
      <c r="C1640" s="67"/>
      <c r="D1640" s="67"/>
      <c r="E1640" s="67"/>
      <c r="F1640" s="8"/>
      <c r="G1640" s="8"/>
      <c r="H1640" s="9" t="s">
        <v>274</v>
      </c>
      <c r="I1640" s="10"/>
      <c r="J1640" s="10"/>
      <c r="K1640" s="361"/>
      <c r="L1640" s="10">
        <v>10000</v>
      </c>
      <c r="M1640" s="10">
        <v>8187</v>
      </c>
      <c r="N1640" s="361">
        <f t="shared" si="257"/>
        <v>81.87</v>
      </c>
      <c r="O1640" s="108">
        <f t="shared" si="253"/>
        <v>10000</v>
      </c>
      <c r="P1640" s="108">
        <f t="shared" si="254"/>
        <v>8187</v>
      </c>
      <c r="Q1640" s="361">
        <f t="shared" si="255"/>
        <v>81.87</v>
      </c>
    </row>
    <row r="1641" spans="2:19" x14ac:dyDescent="0.2">
      <c r="B1641" s="18">
        <f t="shared" si="256"/>
        <v>45</v>
      </c>
      <c r="C1641" s="67"/>
      <c r="D1641" s="67"/>
      <c r="E1641" s="67"/>
      <c r="F1641" s="8"/>
      <c r="G1641" s="8"/>
      <c r="H1641" s="9" t="s">
        <v>640</v>
      </c>
      <c r="I1641" s="10"/>
      <c r="J1641" s="10"/>
      <c r="K1641" s="361"/>
      <c r="L1641" s="10">
        <v>20000</v>
      </c>
      <c r="M1641" s="10">
        <v>5530</v>
      </c>
      <c r="N1641" s="361">
        <f t="shared" si="257"/>
        <v>27.650000000000002</v>
      </c>
      <c r="O1641" s="108">
        <f t="shared" si="253"/>
        <v>20000</v>
      </c>
      <c r="P1641" s="108">
        <f t="shared" si="254"/>
        <v>5530</v>
      </c>
      <c r="Q1641" s="361">
        <f t="shared" si="255"/>
        <v>27.650000000000002</v>
      </c>
    </row>
    <row r="1642" spans="2:19" s="123" customFormat="1" ht="12" x14ac:dyDescent="0.2">
      <c r="B1642" s="18">
        <f t="shared" si="256"/>
        <v>46</v>
      </c>
      <c r="C1642" s="67"/>
      <c r="D1642" s="67"/>
      <c r="E1642" s="67"/>
      <c r="F1642" s="8"/>
      <c r="G1642" s="8"/>
      <c r="H1642" s="9" t="s">
        <v>554</v>
      </c>
      <c r="I1642" s="10"/>
      <c r="J1642" s="10"/>
      <c r="K1642" s="361"/>
      <c r="L1642" s="10">
        <v>3500</v>
      </c>
      <c r="M1642" s="10"/>
      <c r="N1642" s="361">
        <f t="shared" si="257"/>
        <v>0</v>
      </c>
      <c r="O1642" s="108">
        <f t="shared" si="253"/>
        <v>3500</v>
      </c>
      <c r="P1642" s="108">
        <f t="shared" si="254"/>
        <v>0</v>
      </c>
      <c r="Q1642" s="361">
        <f t="shared" si="255"/>
        <v>0</v>
      </c>
    </row>
    <row r="1643" spans="2:19" s="22" customFormat="1" x14ac:dyDescent="0.2">
      <c r="B1643" s="18">
        <f t="shared" si="256"/>
        <v>47</v>
      </c>
      <c r="C1643" s="100"/>
      <c r="D1643" s="100"/>
      <c r="E1643" s="100"/>
      <c r="F1643" s="268"/>
      <c r="G1643" s="214">
        <v>717</v>
      </c>
      <c r="H1643" s="212" t="s">
        <v>182</v>
      </c>
      <c r="I1643" s="69"/>
      <c r="J1643" s="69"/>
      <c r="K1643" s="380"/>
      <c r="L1643" s="69">
        <f>L1644+L1645+L1646</f>
        <v>641400</v>
      </c>
      <c r="M1643" s="69">
        <f>M1644+M1645+M1646</f>
        <v>109310</v>
      </c>
      <c r="N1643" s="380">
        <f t="shared" si="257"/>
        <v>17.04240723417524</v>
      </c>
      <c r="O1643" s="215">
        <f t="shared" si="253"/>
        <v>641400</v>
      </c>
      <c r="P1643" s="215">
        <f t="shared" si="254"/>
        <v>109310</v>
      </c>
      <c r="Q1643" s="380">
        <f t="shared" si="255"/>
        <v>17.04240723417524</v>
      </c>
    </row>
    <row r="1644" spans="2:19" s="22" customFormat="1" ht="24" x14ac:dyDescent="0.2">
      <c r="B1644" s="18">
        <f t="shared" si="256"/>
        <v>48</v>
      </c>
      <c r="C1644" s="100"/>
      <c r="D1644" s="100"/>
      <c r="E1644" s="100"/>
      <c r="F1644" s="268"/>
      <c r="G1644" s="268"/>
      <c r="H1644" s="102" t="s">
        <v>641</v>
      </c>
      <c r="I1644" s="103"/>
      <c r="J1644" s="103"/>
      <c r="K1644" s="380"/>
      <c r="L1644" s="103">
        <v>165000</v>
      </c>
      <c r="M1644" s="103">
        <v>109310</v>
      </c>
      <c r="N1644" s="380">
        <f t="shared" si="257"/>
        <v>66.24848484848485</v>
      </c>
      <c r="O1644" s="105">
        <f t="shared" si="253"/>
        <v>165000</v>
      </c>
      <c r="P1644" s="105">
        <f t="shared" si="254"/>
        <v>109310</v>
      </c>
      <c r="Q1644" s="380">
        <f t="shared" si="255"/>
        <v>66.24848484848485</v>
      </c>
    </row>
    <row r="1645" spans="2:19" s="22" customFormat="1" ht="24" x14ac:dyDescent="0.2">
      <c r="B1645" s="18">
        <f t="shared" si="256"/>
        <v>49</v>
      </c>
      <c r="C1645" s="100"/>
      <c r="D1645" s="100"/>
      <c r="E1645" s="100"/>
      <c r="F1645" s="268"/>
      <c r="G1645" s="268"/>
      <c r="H1645" s="102" t="s">
        <v>642</v>
      </c>
      <c r="I1645" s="103"/>
      <c r="J1645" s="103"/>
      <c r="K1645" s="380"/>
      <c r="L1645" s="103">
        <v>200000</v>
      </c>
      <c r="M1645" s="103">
        <v>0</v>
      </c>
      <c r="N1645" s="380">
        <f t="shared" si="257"/>
        <v>0</v>
      </c>
      <c r="O1645" s="105">
        <f t="shared" si="253"/>
        <v>200000</v>
      </c>
      <c r="P1645" s="105">
        <f t="shared" si="254"/>
        <v>0</v>
      </c>
      <c r="Q1645" s="380">
        <f t="shared" si="255"/>
        <v>0</v>
      </c>
    </row>
    <row r="1646" spans="2:19" x14ac:dyDescent="0.2">
      <c r="B1646" s="18">
        <f t="shared" si="256"/>
        <v>50</v>
      </c>
      <c r="C1646" s="67"/>
      <c r="D1646" s="67"/>
      <c r="E1646" s="67"/>
      <c r="F1646" s="8"/>
      <c r="G1646" s="268"/>
      <c r="H1646" s="102" t="s">
        <v>274</v>
      </c>
      <c r="I1646" s="103"/>
      <c r="J1646" s="103"/>
      <c r="K1646" s="361"/>
      <c r="L1646" s="10">
        <v>276400</v>
      </c>
      <c r="M1646" s="10">
        <v>0</v>
      </c>
      <c r="N1646" s="361">
        <f t="shared" si="257"/>
        <v>0</v>
      </c>
      <c r="O1646" s="108">
        <f t="shared" si="253"/>
        <v>276400</v>
      </c>
      <c r="P1646" s="108">
        <f t="shared" si="254"/>
        <v>0</v>
      </c>
      <c r="Q1646" s="361">
        <f t="shared" si="255"/>
        <v>0</v>
      </c>
    </row>
    <row r="1647" spans="2:19" ht="15" x14ac:dyDescent="0.25">
      <c r="B1647" s="18">
        <f t="shared" si="256"/>
        <v>51</v>
      </c>
      <c r="C1647" s="96"/>
      <c r="D1647" s="96">
        <v>2</v>
      </c>
      <c r="E1647" s="497" t="s">
        <v>239</v>
      </c>
      <c r="F1647" s="498"/>
      <c r="G1647" s="498"/>
      <c r="H1647" s="498"/>
      <c r="I1647" s="97">
        <f>I1648</f>
        <v>2300</v>
      </c>
      <c r="J1647" s="97">
        <f>J1648</f>
        <v>2300</v>
      </c>
      <c r="K1647" s="361">
        <f t="shared" ref="K1647:K1657" si="258">J1647/I1647*100</f>
        <v>100</v>
      </c>
      <c r="L1647" s="97"/>
      <c r="M1647" s="97"/>
      <c r="N1647" s="361"/>
      <c r="O1647" s="98">
        <f t="shared" si="253"/>
        <v>2300</v>
      </c>
      <c r="P1647" s="98">
        <f t="shared" si="254"/>
        <v>2300</v>
      </c>
      <c r="Q1647" s="361">
        <f t="shared" si="255"/>
        <v>100</v>
      </c>
    </row>
    <row r="1648" spans="2:19" x14ac:dyDescent="0.2">
      <c r="B1648" s="18">
        <f t="shared" si="256"/>
        <v>52</v>
      </c>
      <c r="C1648" s="3"/>
      <c r="D1648" s="3"/>
      <c r="E1648" s="3"/>
      <c r="F1648" s="90" t="s">
        <v>138</v>
      </c>
      <c r="G1648" s="2">
        <v>630</v>
      </c>
      <c r="H1648" s="3" t="s">
        <v>121</v>
      </c>
      <c r="I1648" s="4">
        <f>I1649</f>
        <v>2300</v>
      </c>
      <c r="J1648" s="4">
        <f>J1649</f>
        <v>2300</v>
      </c>
      <c r="K1648" s="361">
        <f t="shared" si="258"/>
        <v>100</v>
      </c>
      <c r="L1648" s="4"/>
      <c r="M1648" s="4"/>
      <c r="N1648" s="361"/>
      <c r="O1648" s="92">
        <f t="shared" si="253"/>
        <v>2300</v>
      </c>
      <c r="P1648" s="92">
        <f t="shared" si="254"/>
        <v>2300</v>
      </c>
      <c r="Q1648" s="361">
        <f t="shared" si="255"/>
        <v>100</v>
      </c>
    </row>
    <row r="1649" spans="2:17" x14ac:dyDescent="0.2">
      <c r="B1649" s="18">
        <f t="shared" si="256"/>
        <v>53</v>
      </c>
      <c r="C1649" s="6"/>
      <c r="D1649" s="6"/>
      <c r="E1649" s="6"/>
      <c r="F1649" s="93"/>
      <c r="G1649" s="5">
        <v>637</v>
      </c>
      <c r="H1649" s="6" t="s">
        <v>122</v>
      </c>
      <c r="I1649" s="7">
        <v>2300</v>
      </c>
      <c r="J1649" s="7">
        <v>2300</v>
      </c>
      <c r="K1649" s="361">
        <f t="shared" si="258"/>
        <v>100</v>
      </c>
      <c r="L1649" s="7"/>
      <c r="M1649" s="7"/>
      <c r="N1649" s="361"/>
      <c r="O1649" s="95">
        <f t="shared" si="253"/>
        <v>2300</v>
      </c>
      <c r="P1649" s="95">
        <f t="shared" si="254"/>
        <v>2300</v>
      </c>
      <c r="Q1649" s="361">
        <f t="shared" si="255"/>
        <v>100</v>
      </c>
    </row>
    <row r="1650" spans="2:17" ht="15" x14ac:dyDescent="0.2">
      <c r="B1650" s="18">
        <f t="shared" si="256"/>
        <v>54</v>
      </c>
      <c r="C1650" s="82">
        <v>3</v>
      </c>
      <c r="D1650" s="495" t="s">
        <v>687</v>
      </c>
      <c r="E1650" s="496"/>
      <c r="F1650" s="496"/>
      <c r="G1650" s="496"/>
      <c r="H1650" s="496"/>
      <c r="I1650" s="83">
        <f>I1651+I1655+I1664</f>
        <v>100120</v>
      </c>
      <c r="J1650" s="83">
        <f>J1651+J1655+J1664</f>
        <v>93072</v>
      </c>
      <c r="K1650" s="361">
        <f t="shared" si="258"/>
        <v>92.960447463044346</v>
      </c>
      <c r="L1650" s="83">
        <f>L1658</f>
        <v>55496</v>
      </c>
      <c r="M1650" s="83">
        <f>M1658</f>
        <v>33926</v>
      </c>
      <c r="N1650" s="361">
        <f>M1650/L1650*100</f>
        <v>61.132333861899959</v>
      </c>
      <c r="O1650" s="99">
        <f t="shared" si="253"/>
        <v>155616</v>
      </c>
      <c r="P1650" s="99">
        <f t="shared" si="254"/>
        <v>126998</v>
      </c>
      <c r="Q1650" s="361">
        <f t="shared" si="255"/>
        <v>81.609860168620202</v>
      </c>
    </row>
    <row r="1651" spans="2:17" x14ac:dyDescent="0.2">
      <c r="B1651" s="18">
        <f t="shared" si="256"/>
        <v>55</v>
      </c>
      <c r="C1651" s="3"/>
      <c r="D1651" s="3"/>
      <c r="E1651" s="3"/>
      <c r="F1651" s="90" t="s">
        <v>240</v>
      </c>
      <c r="G1651" s="2">
        <v>630</v>
      </c>
      <c r="H1651" s="3" t="s">
        <v>121</v>
      </c>
      <c r="I1651" s="4">
        <f>I1654+I1652+I1653</f>
        <v>78620</v>
      </c>
      <c r="J1651" s="4">
        <f>J1654+J1652+J1653</f>
        <v>76915</v>
      </c>
      <c r="K1651" s="361">
        <f t="shared" si="258"/>
        <v>97.831340625794965</v>
      </c>
      <c r="L1651" s="4"/>
      <c r="M1651" s="4"/>
      <c r="N1651" s="361"/>
      <c r="O1651" s="92">
        <f t="shared" si="253"/>
        <v>78620</v>
      </c>
      <c r="P1651" s="92">
        <f t="shared" si="254"/>
        <v>76915</v>
      </c>
      <c r="Q1651" s="361">
        <f t="shared" si="255"/>
        <v>97.831340625794965</v>
      </c>
    </row>
    <row r="1652" spans="2:17" x14ac:dyDescent="0.2">
      <c r="B1652" s="18">
        <f t="shared" si="256"/>
        <v>56</v>
      </c>
      <c r="C1652" s="6"/>
      <c r="D1652" s="6"/>
      <c r="E1652" s="6"/>
      <c r="F1652" s="93"/>
      <c r="G1652" s="5">
        <v>633</v>
      </c>
      <c r="H1652" s="6" t="s">
        <v>125</v>
      </c>
      <c r="I1652" s="7">
        <v>100</v>
      </c>
      <c r="J1652" s="7">
        <v>15</v>
      </c>
      <c r="K1652" s="361">
        <f t="shared" si="258"/>
        <v>15</v>
      </c>
      <c r="L1652" s="7"/>
      <c r="M1652" s="7"/>
      <c r="N1652" s="361"/>
      <c r="O1652" s="95">
        <f t="shared" si="253"/>
        <v>100</v>
      </c>
      <c r="P1652" s="95">
        <f t="shared" si="254"/>
        <v>15</v>
      </c>
      <c r="Q1652" s="361">
        <f t="shared" si="255"/>
        <v>15</v>
      </c>
    </row>
    <row r="1653" spans="2:17" ht="24" x14ac:dyDescent="0.2">
      <c r="B1653" s="18">
        <f t="shared" si="256"/>
        <v>57</v>
      </c>
      <c r="C1653" s="212"/>
      <c r="D1653" s="212"/>
      <c r="E1653" s="212"/>
      <c r="F1653" s="213"/>
      <c r="G1653" s="214">
        <v>635</v>
      </c>
      <c r="H1653" s="68" t="s">
        <v>713</v>
      </c>
      <c r="I1653" s="69">
        <v>32520</v>
      </c>
      <c r="J1653" s="69">
        <v>32520</v>
      </c>
      <c r="K1653" s="380">
        <f t="shared" si="258"/>
        <v>100</v>
      </c>
      <c r="L1653" s="69"/>
      <c r="M1653" s="69"/>
      <c r="N1653" s="380"/>
      <c r="O1653" s="215">
        <f t="shared" si="253"/>
        <v>32520</v>
      </c>
      <c r="P1653" s="215">
        <f t="shared" si="254"/>
        <v>32520</v>
      </c>
      <c r="Q1653" s="380">
        <f t="shared" si="255"/>
        <v>100</v>
      </c>
    </row>
    <row r="1654" spans="2:17" x14ac:dyDescent="0.2">
      <c r="B1654" s="18">
        <f t="shared" si="256"/>
        <v>58</v>
      </c>
      <c r="C1654" s="6"/>
      <c r="D1654" s="6"/>
      <c r="E1654" s="6"/>
      <c r="F1654" s="93"/>
      <c r="G1654" s="5">
        <v>637</v>
      </c>
      <c r="H1654" s="6" t="s">
        <v>122</v>
      </c>
      <c r="I1654" s="7">
        <f>27500+17000+1500</f>
        <v>46000</v>
      </c>
      <c r="J1654" s="7">
        <v>44380</v>
      </c>
      <c r="K1654" s="361">
        <f t="shared" si="258"/>
        <v>96.478260869565219</v>
      </c>
      <c r="L1654" s="7"/>
      <c r="M1654" s="7"/>
      <c r="N1654" s="361"/>
      <c r="O1654" s="95">
        <f t="shared" si="253"/>
        <v>46000</v>
      </c>
      <c r="P1654" s="95">
        <f t="shared" si="254"/>
        <v>44380</v>
      </c>
      <c r="Q1654" s="361">
        <f t="shared" si="255"/>
        <v>96.478260869565219</v>
      </c>
    </row>
    <row r="1655" spans="2:17" x14ac:dyDescent="0.2">
      <c r="B1655" s="18">
        <f t="shared" si="256"/>
        <v>59</v>
      </c>
      <c r="C1655" s="3"/>
      <c r="D1655" s="3"/>
      <c r="E1655" s="3"/>
      <c r="F1655" s="90" t="s">
        <v>240</v>
      </c>
      <c r="G1655" s="2">
        <v>640</v>
      </c>
      <c r="H1655" s="3" t="s">
        <v>129</v>
      </c>
      <c r="I1655" s="4">
        <f>SUM(I1656:I1657)</f>
        <v>12000</v>
      </c>
      <c r="J1655" s="4">
        <f>SUM(J1656:J1657)</f>
        <v>11662</v>
      </c>
      <c r="K1655" s="361">
        <f t="shared" si="258"/>
        <v>97.183333333333337</v>
      </c>
      <c r="L1655" s="4"/>
      <c r="M1655" s="4"/>
      <c r="N1655" s="361"/>
      <c r="O1655" s="92">
        <f t="shared" si="253"/>
        <v>12000</v>
      </c>
      <c r="P1655" s="92">
        <f t="shared" si="254"/>
        <v>11662</v>
      </c>
      <c r="Q1655" s="361">
        <f t="shared" si="255"/>
        <v>97.183333333333337</v>
      </c>
    </row>
    <row r="1656" spans="2:17" x14ac:dyDescent="0.2">
      <c r="B1656" s="18">
        <f t="shared" si="256"/>
        <v>60</v>
      </c>
      <c r="C1656" s="67"/>
      <c r="D1656" s="67"/>
      <c r="E1656" s="67"/>
      <c r="F1656" s="8"/>
      <c r="G1656" s="8"/>
      <c r="H1656" s="9" t="s">
        <v>345</v>
      </c>
      <c r="I1656" s="10">
        <v>10000</v>
      </c>
      <c r="J1656" s="10">
        <v>10000</v>
      </c>
      <c r="K1656" s="361">
        <f t="shared" si="258"/>
        <v>100</v>
      </c>
      <c r="L1656" s="10"/>
      <c r="M1656" s="10"/>
      <c r="N1656" s="361"/>
      <c r="O1656" s="108">
        <f t="shared" si="253"/>
        <v>10000</v>
      </c>
      <c r="P1656" s="108">
        <f t="shared" si="254"/>
        <v>10000</v>
      </c>
      <c r="Q1656" s="361">
        <f t="shared" si="255"/>
        <v>100</v>
      </c>
    </row>
    <row r="1657" spans="2:17" s="122" customFormat="1" x14ac:dyDescent="0.2">
      <c r="B1657" s="18">
        <f t="shared" si="256"/>
        <v>61</v>
      </c>
      <c r="C1657" s="67"/>
      <c r="D1657" s="67"/>
      <c r="E1657" s="67"/>
      <c r="F1657" s="8"/>
      <c r="G1657" s="8"/>
      <c r="H1657" s="124" t="s">
        <v>498</v>
      </c>
      <c r="I1657" s="10">
        <v>2000</v>
      </c>
      <c r="J1657" s="10">
        <v>1662</v>
      </c>
      <c r="K1657" s="361">
        <f t="shared" si="258"/>
        <v>83.1</v>
      </c>
      <c r="L1657" s="10"/>
      <c r="M1657" s="10"/>
      <c r="N1657" s="361"/>
      <c r="O1657" s="108">
        <f t="shared" si="253"/>
        <v>2000</v>
      </c>
      <c r="P1657" s="108">
        <f t="shared" si="254"/>
        <v>1662</v>
      </c>
      <c r="Q1657" s="361">
        <f t="shared" si="255"/>
        <v>83.1</v>
      </c>
    </row>
    <row r="1658" spans="2:17" x14ac:dyDescent="0.2">
      <c r="B1658" s="18">
        <f t="shared" si="256"/>
        <v>62</v>
      </c>
      <c r="C1658" s="67"/>
      <c r="D1658" s="413"/>
      <c r="E1658" s="414"/>
      <c r="F1658" s="415" t="s">
        <v>153</v>
      </c>
      <c r="G1658" s="416">
        <v>710</v>
      </c>
      <c r="H1658" s="405" t="s">
        <v>175</v>
      </c>
      <c r="I1658" s="4"/>
      <c r="J1658" s="4"/>
      <c r="K1658" s="361"/>
      <c r="L1658" s="4">
        <f>L1659+L1665+L1662</f>
        <v>55496</v>
      </c>
      <c r="M1658" s="4">
        <f>M1659+M1665+M1662</f>
        <v>33926</v>
      </c>
      <c r="N1658" s="361">
        <f t="shared" ref="N1658:N1663" si="259">M1658/L1658*100</f>
        <v>61.132333861899959</v>
      </c>
      <c r="O1658" s="92">
        <f t="shared" si="253"/>
        <v>55496</v>
      </c>
      <c r="P1658" s="92">
        <f t="shared" si="254"/>
        <v>33926</v>
      </c>
      <c r="Q1658" s="361">
        <f t="shared" si="255"/>
        <v>61.132333861899959</v>
      </c>
    </row>
    <row r="1659" spans="2:17" x14ac:dyDescent="0.2">
      <c r="B1659" s="18">
        <f t="shared" si="256"/>
        <v>63</v>
      </c>
      <c r="C1659" s="67"/>
      <c r="D1659" s="417"/>
      <c r="E1659" s="418"/>
      <c r="F1659" s="231"/>
      <c r="G1659" s="256">
        <v>717</v>
      </c>
      <c r="H1659" s="406" t="s">
        <v>182</v>
      </c>
      <c r="I1659" s="7"/>
      <c r="J1659" s="7"/>
      <c r="K1659" s="361"/>
      <c r="L1659" s="7">
        <f>L1660+L1661</f>
        <v>45496</v>
      </c>
      <c r="M1659" s="7">
        <f>M1660+M1661</f>
        <v>23926</v>
      </c>
      <c r="N1659" s="361">
        <f t="shared" si="259"/>
        <v>52.589238614383682</v>
      </c>
      <c r="O1659" s="95">
        <f t="shared" si="253"/>
        <v>45496</v>
      </c>
      <c r="P1659" s="95">
        <f t="shared" si="254"/>
        <v>23926</v>
      </c>
      <c r="Q1659" s="361">
        <f t="shared" si="255"/>
        <v>52.589238614383682</v>
      </c>
    </row>
    <row r="1660" spans="2:17" x14ac:dyDescent="0.2">
      <c r="B1660" s="18">
        <f t="shared" si="256"/>
        <v>64</v>
      </c>
      <c r="C1660" s="67"/>
      <c r="D1660" s="417"/>
      <c r="E1660" s="418"/>
      <c r="F1660" s="231"/>
      <c r="G1660" s="419"/>
      <c r="H1660" s="407" t="s">
        <v>566</v>
      </c>
      <c r="I1660" s="10"/>
      <c r="J1660" s="10"/>
      <c r="K1660" s="361"/>
      <c r="L1660" s="10">
        <v>25000</v>
      </c>
      <c r="M1660" s="10">
        <v>23926</v>
      </c>
      <c r="N1660" s="361">
        <f t="shared" si="259"/>
        <v>95.703999999999994</v>
      </c>
      <c r="O1660" s="108">
        <f t="shared" si="253"/>
        <v>25000</v>
      </c>
      <c r="P1660" s="108">
        <f t="shared" si="254"/>
        <v>23926</v>
      </c>
      <c r="Q1660" s="361">
        <f t="shared" si="255"/>
        <v>95.703999999999994</v>
      </c>
    </row>
    <row r="1661" spans="2:17" x14ac:dyDescent="0.2">
      <c r="B1661" s="18">
        <f t="shared" si="256"/>
        <v>65</v>
      </c>
      <c r="C1661" s="100"/>
      <c r="D1661" s="420"/>
      <c r="E1661" s="421"/>
      <c r="F1661" s="237"/>
      <c r="G1661" s="422"/>
      <c r="H1661" s="408" t="s">
        <v>643</v>
      </c>
      <c r="I1661" s="103"/>
      <c r="J1661" s="103"/>
      <c r="K1661" s="380"/>
      <c r="L1661" s="103">
        <f>27000-6504</f>
        <v>20496</v>
      </c>
      <c r="M1661" s="103">
        <v>0</v>
      </c>
      <c r="N1661" s="380">
        <f t="shared" si="259"/>
        <v>0</v>
      </c>
      <c r="O1661" s="105">
        <f t="shared" ref="O1661:O1697" si="260">I1661+L1661</f>
        <v>20496</v>
      </c>
      <c r="P1661" s="105">
        <f t="shared" ref="P1661:P1697" si="261">J1661+M1661</f>
        <v>0</v>
      </c>
      <c r="Q1661" s="380">
        <f t="shared" ref="Q1661:Q1692" si="262">P1661/O1661*100</f>
        <v>0</v>
      </c>
    </row>
    <row r="1662" spans="2:17" x14ac:dyDescent="0.2">
      <c r="B1662" s="18">
        <f t="shared" ref="B1662:B1697" si="263">B1661+1</f>
        <v>66</v>
      </c>
      <c r="C1662" s="100"/>
      <c r="D1662" s="420"/>
      <c r="E1662" s="421"/>
      <c r="F1662" s="237" t="s">
        <v>153</v>
      </c>
      <c r="G1662" s="238">
        <v>720</v>
      </c>
      <c r="H1662" s="409" t="s">
        <v>3</v>
      </c>
      <c r="I1662" s="382"/>
      <c r="J1662" s="382"/>
      <c r="K1662" s="380"/>
      <c r="L1662" s="382">
        <f>L1663</f>
        <v>10000</v>
      </c>
      <c r="M1662" s="382">
        <f>M1663</f>
        <v>10000</v>
      </c>
      <c r="N1662" s="380">
        <f t="shared" si="259"/>
        <v>100</v>
      </c>
      <c r="O1662" s="383">
        <f t="shared" si="260"/>
        <v>10000</v>
      </c>
      <c r="P1662" s="383">
        <f t="shared" si="261"/>
        <v>10000</v>
      </c>
      <c r="Q1662" s="380">
        <f t="shared" si="262"/>
        <v>100</v>
      </c>
    </row>
    <row r="1663" spans="2:17" ht="21.75" customHeight="1" x14ac:dyDescent="0.2">
      <c r="B1663" s="18">
        <f t="shared" si="263"/>
        <v>67</v>
      </c>
      <c r="C1663" s="100"/>
      <c r="D1663" s="410"/>
      <c r="E1663" s="410"/>
      <c r="F1663" s="411"/>
      <c r="G1663" s="412"/>
      <c r="H1663" s="239" t="s">
        <v>679</v>
      </c>
      <c r="I1663" s="241"/>
      <c r="J1663" s="241"/>
      <c r="K1663" s="380"/>
      <c r="L1663" s="241">
        <v>10000</v>
      </c>
      <c r="M1663" s="241">
        <v>10000</v>
      </c>
      <c r="N1663" s="380">
        <f t="shared" si="259"/>
        <v>100</v>
      </c>
      <c r="O1663" s="384">
        <f t="shared" si="260"/>
        <v>10000</v>
      </c>
      <c r="P1663" s="384">
        <f t="shared" si="261"/>
        <v>10000</v>
      </c>
      <c r="Q1663" s="380">
        <f t="shared" si="262"/>
        <v>100</v>
      </c>
    </row>
    <row r="1664" spans="2:17" ht="12.75" customHeight="1" x14ac:dyDescent="0.25">
      <c r="B1664" s="18">
        <f t="shared" si="263"/>
        <v>68</v>
      </c>
      <c r="C1664" s="176"/>
      <c r="D1664" s="176"/>
      <c r="E1664" s="176">
        <v>2</v>
      </c>
      <c r="F1664" s="177"/>
      <c r="G1664" s="177"/>
      <c r="H1664" s="176" t="s">
        <v>11</v>
      </c>
      <c r="I1664" s="178">
        <f>I1665</f>
        <v>9500</v>
      </c>
      <c r="J1664" s="178">
        <f>J1665</f>
        <v>4495</v>
      </c>
      <c r="K1664" s="361">
        <f t="shared" ref="K1664:K1670" si="264">J1664/I1664*100</f>
        <v>47.315789473684212</v>
      </c>
      <c r="L1664" s="178"/>
      <c r="M1664" s="178"/>
      <c r="N1664" s="361"/>
      <c r="O1664" s="179">
        <f t="shared" si="260"/>
        <v>9500</v>
      </c>
      <c r="P1664" s="179">
        <f t="shared" si="261"/>
        <v>4495</v>
      </c>
      <c r="Q1664" s="361">
        <f t="shared" si="262"/>
        <v>47.315789473684212</v>
      </c>
    </row>
    <row r="1665" spans="2:17" x14ac:dyDescent="0.2">
      <c r="B1665" s="18">
        <f t="shared" si="263"/>
        <v>69</v>
      </c>
      <c r="C1665" s="3"/>
      <c r="D1665" s="3"/>
      <c r="E1665" s="3"/>
      <c r="F1665" s="90" t="s">
        <v>192</v>
      </c>
      <c r="G1665" s="2">
        <v>630</v>
      </c>
      <c r="H1665" s="3" t="s">
        <v>121</v>
      </c>
      <c r="I1665" s="4">
        <f>I1666</f>
        <v>9500</v>
      </c>
      <c r="J1665" s="4">
        <f>J1666</f>
        <v>4495</v>
      </c>
      <c r="K1665" s="361">
        <f t="shared" si="264"/>
        <v>47.315789473684212</v>
      </c>
      <c r="L1665" s="4"/>
      <c r="M1665" s="4"/>
      <c r="N1665" s="361"/>
      <c r="O1665" s="92">
        <f t="shared" si="260"/>
        <v>9500</v>
      </c>
      <c r="P1665" s="92">
        <f t="shared" si="261"/>
        <v>4495</v>
      </c>
      <c r="Q1665" s="361">
        <f t="shared" si="262"/>
        <v>47.315789473684212</v>
      </c>
    </row>
    <row r="1666" spans="2:17" x14ac:dyDescent="0.2">
      <c r="B1666" s="18">
        <f t="shared" si="263"/>
        <v>70</v>
      </c>
      <c r="C1666" s="6"/>
      <c r="D1666" s="6"/>
      <c r="E1666" s="6"/>
      <c r="F1666" s="93"/>
      <c r="G1666" s="5">
        <v>635</v>
      </c>
      <c r="H1666" s="6" t="s">
        <v>133</v>
      </c>
      <c r="I1666" s="7">
        <v>9500</v>
      </c>
      <c r="J1666" s="7">
        <v>4495</v>
      </c>
      <c r="K1666" s="361">
        <f t="shared" si="264"/>
        <v>47.315789473684212</v>
      </c>
      <c r="L1666" s="7"/>
      <c r="M1666" s="7"/>
      <c r="N1666" s="361"/>
      <c r="O1666" s="95">
        <f t="shared" si="260"/>
        <v>9500</v>
      </c>
      <c r="P1666" s="95">
        <f t="shared" si="261"/>
        <v>4495</v>
      </c>
      <c r="Q1666" s="361">
        <f t="shared" si="262"/>
        <v>47.315789473684212</v>
      </c>
    </row>
    <row r="1667" spans="2:17" ht="15" x14ac:dyDescent="0.2">
      <c r="B1667" s="18">
        <f t="shared" si="263"/>
        <v>71</v>
      </c>
      <c r="C1667" s="82">
        <v>4</v>
      </c>
      <c r="D1667" s="495" t="s">
        <v>63</v>
      </c>
      <c r="E1667" s="496"/>
      <c r="F1667" s="496"/>
      <c r="G1667" s="496"/>
      <c r="H1667" s="496"/>
      <c r="I1667" s="83">
        <f>I1668</f>
        <v>25000</v>
      </c>
      <c r="J1667" s="83">
        <f>J1668</f>
        <v>25000</v>
      </c>
      <c r="K1667" s="361">
        <f t="shared" si="264"/>
        <v>100</v>
      </c>
      <c r="L1667" s="83"/>
      <c r="M1667" s="83"/>
      <c r="N1667" s="361"/>
      <c r="O1667" s="99">
        <f t="shared" si="260"/>
        <v>25000</v>
      </c>
      <c r="P1667" s="99">
        <f t="shared" si="261"/>
        <v>25000</v>
      </c>
      <c r="Q1667" s="361">
        <f t="shared" si="262"/>
        <v>100</v>
      </c>
    </row>
    <row r="1668" spans="2:17" x14ac:dyDescent="0.2">
      <c r="B1668" s="18">
        <f t="shared" si="263"/>
        <v>72</v>
      </c>
      <c r="C1668" s="3"/>
      <c r="D1668" s="3"/>
      <c r="E1668" s="3"/>
      <c r="F1668" s="90" t="s">
        <v>192</v>
      </c>
      <c r="G1668" s="2">
        <v>640</v>
      </c>
      <c r="H1668" s="3" t="s">
        <v>129</v>
      </c>
      <c r="I1668" s="4">
        <f>I1669</f>
        <v>25000</v>
      </c>
      <c r="J1668" s="4">
        <f>J1669</f>
        <v>25000</v>
      </c>
      <c r="K1668" s="361">
        <f t="shared" si="264"/>
        <v>100</v>
      </c>
      <c r="L1668" s="4"/>
      <c r="M1668" s="4"/>
      <c r="N1668" s="361"/>
      <c r="O1668" s="92">
        <f t="shared" si="260"/>
        <v>25000</v>
      </c>
      <c r="P1668" s="92">
        <f t="shared" si="261"/>
        <v>25000</v>
      </c>
      <c r="Q1668" s="361">
        <f t="shared" si="262"/>
        <v>100</v>
      </c>
    </row>
    <row r="1669" spans="2:17" x14ac:dyDescent="0.2">
      <c r="B1669" s="18">
        <f t="shared" si="263"/>
        <v>73</v>
      </c>
      <c r="C1669" s="67"/>
      <c r="D1669" s="67"/>
      <c r="E1669" s="67"/>
      <c r="F1669" s="8"/>
      <c r="G1669" s="8"/>
      <c r="H1669" s="9" t="s">
        <v>362</v>
      </c>
      <c r="I1669" s="10">
        <v>25000</v>
      </c>
      <c r="J1669" s="10">
        <v>25000</v>
      </c>
      <c r="K1669" s="361">
        <f t="shared" si="264"/>
        <v>100</v>
      </c>
      <c r="L1669" s="10"/>
      <c r="M1669" s="10"/>
      <c r="N1669" s="361"/>
      <c r="O1669" s="108">
        <f t="shared" si="260"/>
        <v>25000</v>
      </c>
      <c r="P1669" s="108">
        <f t="shared" si="261"/>
        <v>25000</v>
      </c>
      <c r="Q1669" s="361">
        <f t="shared" si="262"/>
        <v>100</v>
      </c>
    </row>
    <row r="1670" spans="2:17" ht="15" x14ac:dyDescent="0.2">
      <c r="B1670" s="18">
        <f t="shared" si="263"/>
        <v>74</v>
      </c>
      <c r="C1670" s="82">
        <v>5</v>
      </c>
      <c r="D1670" s="495" t="s">
        <v>42</v>
      </c>
      <c r="E1670" s="496"/>
      <c r="F1670" s="496"/>
      <c r="G1670" s="496"/>
      <c r="H1670" s="496"/>
      <c r="I1670" s="83">
        <f>I1674</f>
        <v>47215</v>
      </c>
      <c r="J1670" s="83">
        <f>J1674</f>
        <v>23608</v>
      </c>
      <c r="K1670" s="361">
        <f t="shared" si="264"/>
        <v>50.001058985491895</v>
      </c>
      <c r="L1670" s="83">
        <f>L1671+L1674</f>
        <v>11000</v>
      </c>
      <c r="M1670" s="83">
        <f>M1671+M1674</f>
        <v>10680</v>
      </c>
      <c r="N1670" s="361">
        <f>M1670/L1670*100</f>
        <v>97.090909090909093</v>
      </c>
      <c r="O1670" s="99">
        <f t="shared" si="260"/>
        <v>58215</v>
      </c>
      <c r="P1670" s="99">
        <f t="shared" si="261"/>
        <v>34288</v>
      </c>
      <c r="Q1670" s="361">
        <f t="shared" si="262"/>
        <v>58.898909215837847</v>
      </c>
    </row>
    <row r="1671" spans="2:17" x14ac:dyDescent="0.2">
      <c r="B1671" s="18">
        <f t="shared" si="263"/>
        <v>75</v>
      </c>
      <c r="C1671" s="3"/>
      <c r="D1671" s="3"/>
      <c r="E1671" s="3"/>
      <c r="F1671" s="90" t="s">
        <v>192</v>
      </c>
      <c r="G1671" s="2">
        <v>710</v>
      </c>
      <c r="H1671" s="3" t="s">
        <v>175</v>
      </c>
      <c r="I1671" s="10"/>
      <c r="J1671" s="10"/>
      <c r="K1671" s="361"/>
      <c r="L1671" s="4">
        <f>L1676+L1672</f>
        <v>11000</v>
      </c>
      <c r="M1671" s="4">
        <f>M1676+M1672</f>
        <v>10680</v>
      </c>
      <c r="N1671" s="361">
        <f>M1671/L1671*100</f>
        <v>97.090909090909093</v>
      </c>
      <c r="O1671" s="92">
        <f t="shared" si="260"/>
        <v>11000</v>
      </c>
      <c r="P1671" s="92">
        <f t="shared" si="261"/>
        <v>10680</v>
      </c>
      <c r="Q1671" s="361">
        <f t="shared" si="262"/>
        <v>97.090909090909093</v>
      </c>
    </row>
    <row r="1672" spans="2:17" x14ac:dyDescent="0.2">
      <c r="B1672" s="18">
        <f t="shared" si="263"/>
        <v>76</v>
      </c>
      <c r="C1672" s="6"/>
      <c r="D1672" s="6"/>
      <c r="E1672" s="6"/>
      <c r="F1672" s="93"/>
      <c r="G1672" s="5">
        <v>716</v>
      </c>
      <c r="H1672" s="6" t="s">
        <v>215</v>
      </c>
      <c r="I1672" s="10"/>
      <c r="J1672" s="10"/>
      <c r="K1672" s="361"/>
      <c r="L1672" s="7">
        <f>SUM(L1673:L1675)</f>
        <v>11000</v>
      </c>
      <c r="M1672" s="7">
        <f>SUM(M1673:M1675)</f>
        <v>10680</v>
      </c>
      <c r="N1672" s="361">
        <f>M1672/L1672*100</f>
        <v>97.090909090909093</v>
      </c>
      <c r="O1672" s="95">
        <f t="shared" si="260"/>
        <v>11000</v>
      </c>
      <c r="P1672" s="95">
        <f t="shared" si="261"/>
        <v>10680</v>
      </c>
      <c r="Q1672" s="361">
        <f t="shared" si="262"/>
        <v>97.090909090909093</v>
      </c>
    </row>
    <row r="1673" spans="2:17" x14ac:dyDescent="0.2">
      <c r="B1673" s="18">
        <f t="shared" si="263"/>
        <v>77</v>
      </c>
      <c r="C1673" s="67"/>
      <c r="D1673" s="67"/>
      <c r="E1673" s="9"/>
      <c r="F1673" s="106"/>
      <c r="G1673" s="106"/>
      <c r="H1673" s="9" t="s">
        <v>666</v>
      </c>
      <c r="I1673" s="10"/>
      <c r="J1673" s="10"/>
      <c r="K1673" s="361"/>
      <c r="L1673" s="10">
        <v>11000</v>
      </c>
      <c r="M1673" s="10">
        <v>10680</v>
      </c>
      <c r="N1673" s="361">
        <f>M1673/L1673*100</f>
        <v>97.090909090909093</v>
      </c>
      <c r="O1673" s="108">
        <f t="shared" si="260"/>
        <v>11000</v>
      </c>
      <c r="P1673" s="108">
        <f t="shared" si="261"/>
        <v>10680</v>
      </c>
      <c r="Q1673" s="361">
        <f t="shared" si="262"/>
        <v>97.090909090909093</v>
      </c>
    </row>
    <row r="1674" spans="2:17" ht="15" x14ac:dyDescent="0.25">
      <c r="B1674" s="18">
        <f t="shared" si="263"/>
        <v>78</v>
      </c>
      <c r="C1674" s="176"/>
      <c r="D1674" s="176"/>
      <c r="E1674" s="176">
        <v>2</v>
      </c>
      <c r="F1674" s="177"/>
      <c r="G1674" s="177"/>
      <c r="H1674" s="176" t="s">
        <v>11</v>
      </c>
      <c r="I1674" s="178">
        <f>I1675</f>
        <v>47215</v>
      </c>
      <c r="J1674" s="178">
        <f>J1675</f>
        <v>23608</v>
      </c>
      <c r="K1674" s="361">
        <f t="shared" ref="K1674:K1691" si="265">J1674/I1674*100</f>
        <v>50.001058985491895</v>
      </c>
      <c r="L1674" s="178"/>
      <c r="M1674" s="178"/>
      <c r="N1674" s="361"/>
      <c r="O1674" s="179">
        <f t="shared" si="260"/>
        <v>47215</v>
      </c>
      <c r="P1674" s="179">
        <f t="shared" si="261"/>
        <v>23608</v>
      </c>
      <c r="Q1674" s="361">
        <f t="shared" si="262"/>
        <v>50.001058985491895</v>
      </c>
    </row>
    <row r="1675" spans="2:17" x14ac:dyDescent="0.2">
      <c r="B1675" s="18">
        <f t="shared" si="263"/>
        <v>79</v>
      </c>
      <c r="C1675" s="3"/>
      <c r="D1675" s="3"/>
      <c r="E1675" s="3"/>
      <c r="F1675" s="90" t="s">
        <v>192</v>
      </c>
      <c r="G1675" s="2">
        <v>630</v>
      </c>
      <c r="H1675" s="3" t="s">
        <v>121</v>
      </c>
      <c r="I1675" s="4">
        <f>I1679+I1678+I1677+I1676</f>
        <v>47215</v>
      </c>
      <c r="J1675" s="4">
        <f>J1679+J1678+J1677+J1676</f>
        <v>23608</v>
      </c>
      <c r="K1675" s="361">
        <f t="shared" si="265"/>
        <v>50.001058985491895</v>
      </c>
      <c r="L1675" s="4"/>
      <c r="M1675" s="4"/>
      <c r="N1675" s="361"/>
      <c r="O1675" s="92">
        <f t="shared" si="260"/>
        <v>47215</v>
      </c>
      <c r="P1675" s="92">
        <f t="shared" si="261"/>
        <v>23608</v>
      </c>
      <c r="Q1675" s="361">
        <f t="shared" si="262"/>
        <v>50.001058985491895</v>
      </c>
    </row>
    <row r="1676" spans="2:17" x14ac:dyDescent="0.2">
      <c r="B1676" s="18">
        <f t="shared" si="263"/>
        <v>80</v>
      </c>
      <c r="C1676" s="6"/>
      <c r="D1676" s="6"/>
      <c r="E1676" s="6"/>
      <c r="F1676" s="93"/>
      <c r="G1676" s="5">
        <v>632</v>
      </c>
      <c r="H1676" s="6" t="s">
        <v>134</v>
      </c>
      <c r="I1676" s="7">
        <f>3000+8500+4000</f>
        <v>15500</v>
      </c>
      <c r="J1676" s="7">
        <v>12806</v>
      </c>
      <c r="K1676" s="361">
        <f t="shared" si="265"/>
        <v>82.619354838709683</v>
      </c>
      <c r="L1676" s="7"/>
      <c r="M1676" s="7"/>
      <c r="N1676" s="361"/>
      <c r="O1676" s="95">
        <f t="shared" si="260"/>
        <v>15500</v>
      </c>
      <c r="P1676" s="95">
        <f t="shared" si="261"/>
        <v>12806</v>
      </c>
      <c r="Q1676" s="361">
        <f t="shared" si="262"/>
        <v>82.619354838709683</v>
      </c>
    </row>
    <row r="1677" spans="2:17" x14ac:dyDescent="0.2">
      <c r="B1677" s="18">
        <f t="shared" si="263"/>
        <v>81</v>
      </c>
      <c r="C1677" s="6"/>
      <c r="D1677" s="6"/>
      <c r="E1677" s="6"/>
      <c r="F1677" s="93"/>
      <c r="G1677" s="5">
        <v>633</v>
      </c>
      <c r="H1677" s="6" t="s">
        <v>125</v>
      </c>
      <c r="I1677" s="7">
        <f>4000+8000-2000</f>
        <v>10000</v>
      </c>
      <c r="J1677" s="7">
        <v>2257</v>
      </c>
      <c r="K1677" s="361">
        <f t="shared" si="265"/>
        <v>22.57</v>
      </c>
      <c r="L1677" s="7"/>
      <c r="M1677" s="7"/>
      <c r="N1677" s="361"/>
      <c r="O1677" s="95">
        <f t="shared" si="260"/>
        <v>10000</v>
      </c>
      <c r="P1677" s="95">
        <f t="shared" si="261"/>
        <v>2257</v>
      </c>
      <c r="Q1677" s="361">
        <f t="shared" si="262"/>
        <v>22.57</v>
      </c>
    </row>
    <row r="1678" spans="2:17" x14ac:dyDescent="0.2">
      <c r="B1678" s="18">
        <f t="shared" si="263"/>
        <v>82</v>
      </c>
      <c r="C1678" s="6"/>
      <c r="D1678" s="6"/>
      <c r="E1678" s="6"/>
      <c r="F1678" s="93"/>
      <c r="G1678" s="5">
        <v>635</v>
      </c>
      <c r="H1678" s="6" t="s">
        <v>133</v>
      </c>
      <c r="I1678" s="7">
        <f>22000-2485-2000</f>
        <v>17515</v>
      </c>
      <c r="J1678" s="7">
        <v>7975</v>
      </c>
      <c r="K1678" s="361">
        <f t="shared" si="265"/>
        <v>45.532400799314871</v>
      </c>
      <c r="L1678" s="7"/>
      <c r="M1678" s="7"/>
      <c r="N1678" s="361"/>
      <c r="O1678" s="95">
        <f t="shared" si="260"/>
        <v>17515</v>
      </c>
      <c r="P1678" s="95">
        <f t="shared" si="261"/>
        <v>7975</v>
      </c>
      <c r="Q1678" s="361">
        <f t="shared" si="262"/>
        <v>45.532400799314871</v>
      </c>
    </row>
    <row r="1679" spans="2:17" x14ac:dyDescent="0.2">
      <c r="B1679" s="18">
        <f t="shared" si="263"/>
        <v>83</v>
      </c>
      <c r="C1679" s="6"/>
      <c r="D1679" s="6"/>
      <c r="E1679" s="6"/>
      <c r="F1679" s="93"/>
      <c r="G1679" s="5">
        <v>637</v>
      </c>
      <c r="H1679" s="6" t="s">
        <v>122</v>
      </c>
      <c r="I1679" s="7">
        <f>4000+200</f>
        <v>4200</v>
      </c>
      <c r="J1679" s="7">
        <v>570</v>
      </c>
      <c r="K1679" s="361">
        <f t="shared" si="265"/>
        <v>13.571428571428571</v>
      </c>
      <c r="L1679" s="7"/>
      <c r="M1679" s="7"/>
      <c r="N1679" s="361"/>
      <c r="O1679" s="95">
        <f t="shared" si="260"/>
        <v>4200</v>
      </c>
      <c r="P1679" s="95">
        <f t="shared" si="261"/>
        <v>570</v>
      </c>
      <c r="Q1679" s="361">
        <f t="shared" si="262"/>
        <v>13.571428571428571</v>
      </c>
    </row>
    <row r="1680" spans="2:17" ht="15" x14ac:dyDescent="0.2">
      <c r="B1680" s="18">
        <f t="shared" si="263"/>
        <v>84</v>
      </c>
      <c r="C1680" s="82">
        <v>6</v>
      </c>
      <c r="D1680" s="495" t="s">
        <v>56</v>
      </c>
      <c r="E1680" s="496"/>
      <c r="F1680" s="496"/>
      <c r="G1680" s="496"/>
      <c r="H1680" s="496"/>
      <c r="I1680" s="83">
        <f>I1681</f>
        <v>522650</v>
      </c>
      <c r="J1680" s="83">
        <f>J1681</f>
        <v>500644</v>
      </c>
      <c r="K1680" s="361">
        <f t="shared" si="265"/>
        <v>95.789534105041625</v>
      </c>
      <c r="L1680" s="83">
        <f>L1681</f>
        <v>207277</v>
      </c>
      <c r="M1680" s="83">
        <f>M1681</f>
        <v>206900</v>
      </c>
      <c r="N1680" s="361">
        <f>M1680/L1680*100</f>
        <v>99.818117784414099</v>
      </c>
      <c r="O1680" s="99">
        <f t="shared" si="260"/>
        <v>729927</v>
      </c>
      <c r="P1680" s="99">
        <f t="shared" si="261"/>
        <v>707544</v>
      </c>
      <c r="Q1680" s="361">
        <f t="shared" si="262"/>
        <v>96.933528969335299</v>
      </c>
    </row>
    <row r="1681" spans="2:17" ht="15" x14ac:dyDescent="0.25">
      <c r="B1681" s="18">
        <f t="shared" si="263"/>
        <v>85</v>
      </c>
      <c r="C1681" s="176"/>
      <c r="D1681" s="176"/>
      <c r="E1681" s="176">
        <v>2</v>
      </c>
      <c r="F1681" s="177"/>
      <c r="G1681" s="177"/>
      <c r="H1681" s="176" t="s">
        <v>11</v>
      </c>
      <c r="I1681" s="178">
        <f>I1682+I1683+I1684+I1691</f>
        <v>522650</v>
      </c>
      <c r="J1681" s="178">
        <f>J1682+J1683+J1684+J1691</f>
        <v>500644</v>
      </c>
      <c r="K1681" s="361">
        <f t="shared" si="265"/>
        <v>95.789534105041625</v>
      </c>
      <c r="L1681" s="178">
        <f>L1692</f>
        <v>207277</v>
      </c>
      <c r="M1681" s="178">
        <f>M1692</f>
        <v>206900</v>
      </c>
      <c r="N1681" s="361">
        <f>M1681/L1681*100</f>
        <v>99.818117784414099</v>
      </c>
      <c r="O1681" s="179">
        <f t="shared" si="260"/>
        <v>729927</v>
      </c>
      <c r="P1681" s="179">
        <f t="shared" si="261"/>
        <v>707544</v>
      </c>
      <c r="Q1681" s="361">
        <f t="shared" si="262"/>
        <v>96.933528969335299</v>
      </c>
    </row>
    <row r="1682" spans="2:17" x14ac:dyDescent="0.2">
      <c r="B1682" s="18">
        <f t="shared" si="263"/>
        <v>86</v>
      </c>
      <c r="C1682" s="3"/>
      <c r="D1682" s="3"/>
      <c r="E1682" s="3"/>
      <c r="F1682" s="90" t="s">
        <v>192</v>
      </c>
      <c r="G1682" s="2">
        <v>610</v>
      </c>
      <c r="H1682" s="3" t="s">
        <v>131</v>
      </c>
      <c r="I1682" s="4">
        <v>293500</v>
      </c>
      <c r="J1682" s="4">
        <v>292766</v>
      </c>
      <c r="K1682" s="361">
        <f t="shared" si="265"/>
        <v>99.749914821124364</v>
      </c>
      <c r="L1682" s="4"/>
      <c r="M1682" s="4"/>
      <c r="N1682" s="361"/>
      <c r="O1682" s="92">
        <f t="shared" si="260"/>
        <v>293500</v>
      </c>
      <c r="P1682" s="92">
        <f t="shared" si="261"/>
        <v>292766</v>
      </c>
      <c r="Q1682" s="361">
        <f t="shared" si="262"/>
        <v>99.749914821124364</v>
      </c>
    </row>
    <row r="1683" spans="2:17" x14ac:dyDescent="0.2">
      <c r="B1683" s="18">
        <f t="shared" si="263"/>
        <v>87</v>
      </c>
      <c r="C1683" s="3"/>
      <c r="D1683" s="3"/>
      <c r="E1683" s="3"/>
      <c r="F1683" s="90" t="s">
        <v>192</v>
      </c>
      <c r="G1683" s="2">
        <v>620</v>
      </c>
      <c r="H1683" s="3" t="s">
        <v>124</v>
      </c>
      <c r="I1683" s="4">
        <v>110500</v>
      </c>
      <c r="J1683" s="4">
        <v>108343</v>
      </c>
      <c r="K1683" s="361">
        <f t="shared" si="265"/>
        <v>98.047963800904981</v>
      </c>
      <c r="L1683" s="4"/>
      <c r="M1683" s="4"/>
      <c r="N1683" s="361"/>
      <c r="O1683" s="92">
        <f t="shared" si="260"/>
        <v>110500</v>
      </c>
      <c r="P1683" s="92">
        <f t="shared" si="261"/>
        <v>108343</v>
      </c>
      <c r="Q1683" s="361">
        <f t="shared" si="262"/>
        <v>98.047963800904981</v>
      </c>
    </row>
    <row r="1684" spans="2:17" x14ac:dyDescent="0.2">
      <c r="B1684" s="18">
        <f t="shared" si="263"/>
        <v>88</v>
      </c>
      <c r="C1684" s="3"/>
      <c r="D1684" s="3"/>
      <c r="E1684" s="3"/>
      <c r="F1684" s="90" t="s">
        <v>192</v>
      </c>
      <c r="G1684" s="2">
        <v>630</v>
      </c>
      <c r="H1684" s="3" t="s">
        <v>121</v>
      </c>
      <c r="I1684" s="4">
        <f>I1690+I1689+I1688+I1687+I1686+I1685</f>
        <v>102350</v>
      </c>
      <c r="J1684" s="4">
        <f>J1690+J1689+J1688+J1687+J1686+J1685</f>
        <v>85702</v>
      </c>
      <c r="K1684" s="361">
        <f t="shared" si="265"/>
        <v>83.734245236932097</v>
      </c>
      <c r="L1684" s="4"/>
      <c r="M1684" s="4"/>
      <c r="N1684" s="361"/>
      <c r="O1684" s="92">
        <f t="shared" si="260"/>
        <v>102350</v>
      </c>
      <c r="P1684" s="92">
        <f t="shared" si="261"/>
        <v>85702</v>
      </c>
      <c r="Q1684" s="361">
        <f t="shared" si="262"/>
        <v>83.734245236932097</v>
      </c>
    </row>
    <row r="1685" spans="2:17" x14ac:dyDescent="0.2">
      <c r="B1685" s="18">
        <f t="shared" si="263"/>
        <v>89</v>
      </c>
      <c r="C1685" s="6"/>
      <c r="D1685" s="6"/>
      <c r="E1685" s="6"/>
      <c r="F1685" s="93"/>
      <c r="G1685" s="5">
        <v>631</v>
      </c>
      <c r="H1685" s="6" t="s">
        <v>127</v>
      </c>
      <c r="I1685" s="7">
        <f>800+200</f>
        <v>1000</v>
      </c>
      <c r="J1685" s="7">
        <v>54</v>
      </c>
      <c r="K1685" s="361">
        <f t="shared" si="265"/>
        <v>5.4</v>
      </c>
      <c r="L1685" s="7"/>
      <c r="M1685" s="7"/>
      <c r="N1685" s="361"/>
      <c r="O1685" s="95">
        <f t="shared" si="260"/>
        <v>1000</v>
      </c>
      <c r="P1685" s="95">
        <f t="shared" si="261"/>
        <v>54</v>
      </c>
      <c r="Q1685" s="361">
        <f t="shared" si="262"/>
        <v>5.4</v>
      </c>
    </row>
    <row r="1686" spans="2:17" x14ac:dyDescent="0.2">
      <c r="B1686" s="18">
        <f t="shared" si="263"/>
        <v>90</v>
      </c>
      <c r="C1686" s="6"/>
      <c r="D1686" s="6"/>
      <c r="E1686" s="6"/>
      <c r="F1686" s="93"/>
      <c r="G1686" s="5">
        <v>632</v>
      </c>
      <c r="H1686" s="6" t="s">
        <v>134</v>
      </c>
      <c r="I1686" s="7">
        <v>8500</v>
      </c>
      <c r="J1686" s="7">
        <v>8056</v>
      </c>
      <c r="K1686" s="361">
        <f t="shared" si="265"/>
        <v>94.776470588235298</v>
      </c>
      <c r="L1686" s="7"/>
      <c r="M1686" s="7"/>
      <c r="N1686" s="361"/>
      <c r="O1686" s="95">
        <f t="shared" si="260"/>
        <v>8500</v>
      </c>
      <c r="P1686" s="95">
        <f t="shared" si="261"/>
        <v>8056</v>
      </c>
      <c r="Q1686" s="361">
        <f t="shared" si="262"/>
        <v>94.776470588235298</v>
      </c>
    </row>
    <row r="1687" spans="2:17" x14ac:dyDescent="0.2">
      <c r="B1687" s="18">
        <f t="shared" si="263"/>
        <v>91</v>
      </c>
      <c r="C1687" s="6"/>
      <c r="D1687" s="6"/>
      <c r="E1687" s="6"/>
      <c r="F1687" s="93"/>
      <c r="G1687" s="5">
        <v>633</v>
      </c>
      <c r="H1687" s="6" t="s">
        <v>125</v>
      </c>
      <c r="I1687" s="7">
        <v>15000</v>
      </c>
      <c r="J1687" s="7">
        <v>13037</v>
      </c>
      <c r="K1687" s="361">
        <f t="shared" si="265"/>
        <v>86.913333333333327</v>
      </c>
      <c r="L1687" s="7"/>
      <c r="M1687" s="7"/>
      <c r="N1687" s="361"/>
      <c r="O1687" s="95">
        <f t="shared" si="260"/>
        <v>15000</v>
      </c>
      <c r="P1687" s="95">
        <f t="shared" si="261"/>
        <v>13037</v>
      </c>
      <c r="Q1687" s="361">
        <f t="shared" si="262"/>
        <v>86.913333333333327</v>
      </c>
    </row>
    <row r="1688" spans="2:17" x14ac:dyDescent="0.2">
      <c r="B1688" s="18">
        <f t="shared" si="263"/>
        <v>92</v>
      </c>
      <c r="C1688" s="6"/>
      <c r="D1688" s="6"/>
      <c r="E1688" s="6"/>
      <c r="F1688" s="93"/>
      <c r="G1688" s="5">
        <v>634</v>
      </c>
      <c r="H1688" s="6" t="s">
        <v>132</v>
      </c>
      <c r="I1688" s="7">
        <f>7500+7000+4500+250</f>
        <v>19250</v>
      </c>
      <c r="J1688" s="7">
        <v>18119</v>
      </c>
      <c r="K1688" s="361">
        <f t="shared" si="265"/>
        <v>94.124675324675323</v>
      </c>
      <c r="L1688" s="7"/>
      <c r="M1688" s="7"/>
      <c r="N1688" s="361"/>
      <c r="O1688" s="95">
        <f t="shared" si="260"/>
        <v>19250</v>
      </c>
      <c r="P1688" s="95">
        <f t="shared" si="261"/>
        <v>18119</v>
      </c>
      <c r="Q1688" s="361">
        <f t="shared" si="262"/>
        <v>94.124675324675323</v>
      </c>
    </row>
    <row r="1689" spans="2:17" x14ac:dyDescent="0.2">
      <c r="B1689" s="18">
        <f t="shared" si="263"/>
        <v>93</v>
      </c>
      <c r="C1689" s="6"/>
      <c r="D1689" s="6"/>
      <c r="E1689" s="6"/>
      <c r="F1689" s="93"/>
      <c r="G1689" s="5">
        <v>635</v>
      </c>
      <c r="H1689" s="6" t="s">
        <v>133</v>
      </c>
      <c r="I1689" s="7">
        <f>3300+300</f>
        <v>3600</v>
      </c>
      <c r="J1689" s="7">
        <v>3215</v>
      </c>
      <c r="K1689" s="361">
        <f t="shared" si="265"/>
        <v>89.305555555555557</v>
      </c>
      <c r="L1689" s="7"/>
      <c r="M1689" s="7"/>
      <c r="N1689" s="361"/>
      <c r="O1689" s="95">
        <f t="shared" si="260"/>
        <v>3600</v>
      </c>
      <c r="P1689" s="95">
        <f t="shared" si="261"/>
        <v>3215</v>
      </c>
      <c r="Q1689" s="361">
        <f t="shared" si="262"/>
        <v>89.305555555555557</v>
      </c>
    </row>
    <row r="1690" spans="2:17" x14ac:dyDescent="0.2">
      <c r="B1690" s="18">
        <f t="shared" si="263"/>
        <v>94</v>
      </c>
      <c r="C1690" s="6"/>
      <c r="D1690" s="6"/>
      <c r="E1690" s="6"/>
      <c r="F1690" s="93"/>
      <c r="G1690" s="5">
        <v>637</v>
      </c>
      <c r="H1690" s="6" t="s">
        <v>122</v>
      </c>
      <c r="I1690" s="7">
        <v>55000</v>
      </c>
      <c r="J1690" s="7">
        <v>43221</v>
      </c>
      <c r="K1690" s="361">
        <f t="shared" si="265"/>
        <v>78.583636363636373</v>
      </c>
      <c r="L1690" s="7"/>
      <c r="M1690" s="7"/>
      <c r="N1690" s="361"/>
      <c r="O1690" s="95">
        <f t="shared" si="260"/>
        <v>55000</v>
      </c>
      <c r="P1690" s="95">
        <f t="shared" si="261"/>
        <v>43221</v>
      </c>
      <c r="Q1690" s="361">
        <f t="shared" si="262"/>
        <v>78.583636363636373</v>
      </c>
    </row>
    <row r="1691" spans="2:17" x14ac:dyDescent="0.2">
      <c r="B1691" s="427">
        <f t="shared" si="263"/>
        <v>95</v>
      </c>
      <c r="C1691" s="428"/>
      <c r="D1691" s="428"/>
      <c r="E1691" s="428"/>
      <c r="F1691" s="429" t="s">
        <v>192</v>
      </c>
      <c r="G1691" s="430">
        <v>640</v>
      </c>
      <c r="H1691" s="3" t="s">
        <v>129</v>
      </c>
      <c r="I1691" s="4">
        <f>14000+1500+800</f>
        <v>16300</v>
      </c>
      <c r="J1691" s="4">
        <v>13833</v>
      </c>
      <c r="K1691" s="361">
        <f t="shared" si="265"/>
        <v>84.865030674846636</v>
      </c>
      <c r="L1691" s="4"/>
      <c r="M1691" s="4"/>
      <c r="N1691" s="361"/>
      <c r="O1691" s="92">
        <f t="shared" si="260"/>
        <v>16300</v>
      </c>
      <c r="P1691" s="92">
        <f t="shared" si="261"/>
        <v>13833</v>
      </c>
      <c r="Q1691" s="361">
        <f t="shared" si="262"/>
        <v>84.865030674846636</v>
      </c>
    </row>
    <row r="1692" spans="2:17" x14ac:dyDescent="0.2">
      <c r="B1692" s="431">
        <f t="shared" si="263"/>
        <v>96</v>
      </c>
      <c r="C1692" s="204"/>
      <c r="D1692" s="204"/>
      <c r="E1692" s="204"/>
      <c r="F1692" s="205" t="s">
        <v>192</v>
      </c>
      <c r="G1692" s="206">
        <v>710</v>
      </c>
      <c r="H1692" s="3" t="s">
        <v>175</v>
      </c>
      <c r="I1692" s="4"/>
      <c r="J1692" s="4"/>
      <c r="K1692" s="361"/>
      <c r="L1692" s="4">
        <f>L1693+L1696</f>
        <v>207277</v>
      </c>
      <c r="M1692" s="4">
        <f>M1693+M1696</f>
        <v>206900</v>
      </c>
      <c r="N1692" s="361">
        <f t="shared" ref="N1692:N1697" si="266">M1692/L1692*100</f>
        <v>99.818117784414099</v>
      </c>
      <c r="O1692" s="92">
        <f t="shared" si="260"/>
        <v>207277</v>
      </c>
      <c r="P1692" s="92">
        <f t="shared" si="261"/>
        <v>206900</v>
      </c>
      <c r="Q1692" s="361">
        <f t="shared" si="262"/>
        <v>99.818117784414099</v>
      </c>
    </row>
    <row r="1693" spans="2:17" x14ac:dyDescent="0.2">
      <c r="B1693" s="431">
        <f t="shared" si="263"/>
        <v>97</v>
      </c>
      <c r="C1693" s="204"/>
      <c r="D1693" s="204"/>
      <c r="E1693" s="204"/>
      <c r="F1693" s="205"/>
      <c r="G1693" s="262">
        <v>717</v>
      </c>
      <c r="H1693" s="6" t="s">
        <v>182</v>
      </c>
      <c r="I1693" s="7"/>
      <c r="J1693" s="7"/>
      <c r="K1693" s="361"/>
      <c r="L1693" s="7">
        <f>L1694+L1695</f>
        <v>188277</v>
      </c>
      <c r="M1693" s="7">
        <f>M1694+M1695</f>
        <v>188185</v>
      </c>
      <c r="N1693" s="361">
        <f t="shared" si="266"/>
        <v>99.951135826468445</v>
      </c>
      <c r="O1693" s="95">
        <f t="shared" si="260"/>
        <v>188277</v>
      </c>
      <c r="P1693" s="95">
        <f t="shared" si="261"/>
        <v>188185</v>
      </c>
      <c r="Q1693" s="361">
        <f t="shared" ref="Q1693:Q1697" si="267">P1693/O1693*100</f>
        <v>99.951135826468445</v>
      </c>
    </row>
    <row r="1694" spans="2:17" x14ac:dyDescent="0.2">
      <c r="B1694" s="431">
        <f t="shared" si="263"/>
        <v>98</v>
      </c>
      <c r="C1694" s="204"/>
      <c r="D1694" s="204"/>
      <c r="E1694" s="204"/>
      <c r="F1694" s="205"/>
      <c r="G1694" s="223"/>
      <c r="H1694" s="9" t="s">
        <v>506</v>
      </c>
      <c r="I1694" s="10"/>
      <c r="J1694" s="10"/>
      <c r="K1694" s="361"/>
      <c r="L1694" s="10">
        <f>10000+1300</f>
        <v>11300</v>
      </c>
      <c r="M1694" s="10">
        <v>11208</v>
      </c>
      <c r="N1694" s="361">
        <f t="shared" si="266"/>
        <v>99.185840707964601</v>
      </c>
      <c r="O1694" s="108">
        <f t="shared" si="260"/>
        <v>11300</v>
      </c>
      <c r="P1694" s="108">
        <f t="shared" si="261"/>
        <v>11208</v>
      </c>
      <c r="Q1694" s="361">
        <f t="shared" si="267"/>
        <v>99.185840707964601</v>
      </c>
    </row>
    <row r="1695" spans="2:17" x14ac:dyDescent="0.2">
      <c r="B1695" s="431">
        <f t="shared" si="263"/>
        <v>99</v>
      </c>
      <c r="C1695" s="204"/>
      <c r="D1695" s="204"/>
      <c r="E1695" s="204"/>
      <c r="F1695" s="205"/>
      <c r="G1695" s="223"/>
      <c r="H1695" s="260" t="s">
        <v>426</v>
      </c>
      <c r="I1695" s="261"/>
      <c r="J1695" s="261"/>
      <c r="K1695" s="361"/>
      <c r="L1695" s="261">
        <f>225000-3060-8000-4000-27100-5863</f>
        <v>176977</v>
      </c>
      <c r="M1695" s="261">
        <v>176977</v>
      </c>
      <c r="N1695" s="361">
        <f t="shared" si="266"/>
        <v>100</v>
      </c>
      <c r="O1695" s="108">
        <f t="shared" si="260"/>
        <v>176977</v>
      </c>
      <c r="P1695" s="108">
        <f t="shared" si="261"/>
        <v>176977</v>
      </c>
      <c r="Q1695" s="361">
        <f t="shared" si="267"/>
        <v>100</v>
      </c>
    </row>
    <row r="1696" spans="2:17" x14ac:dyDescent="0.2">
      <c r="B1696" s="431">
        <f t="shared" si="263"/>
        <v>100</v>
      </c>
      <c r="C1696" s="204"/>
      <c r="D1696" s="204"/>
      <c r="E1696" s="204"/>
      <c r="F1696" s="205"/>
      <c r="G1696" s="262">
        <v>718</v>
      </c>
      <c r="H1696" s="263" t="s">
        <v>80</v>
      </c>
      <c r="I1696" s="221"/>
      <c r="J1696" s="221"/>
      <c r="K1696" s="361"/>
      <c r="L1696" s="221">
        <f>L1697</f>
        <v>19000</v>
      </c>
      <c r="M1696" s="221">
        <f>M1697</f>
        <v>18715</v>
      </c>
      <c r="N1696" s="361">
        <f t="shared" si="266"/>
        <v>98.5</v>
      </c>
      <c r="O1696" s="264">
        <f t="shared" si="260"/>
        <v>19000</v>
      </c>
      <c r="P1696" s="264">
        <f t="shared" si="261"/>
        <v>18715</v>
      </c>
      <c r="Q1696" s="361">
        <f t="shared" si="267"/>
        <v>98.5</v>
      </c>
    </row>
    <row r="1697" spans="2:17" x14ac:dyDescent="0.2">
      <c r="B1697" s="423">
        <f t="shared" si="263"/>
        <v>101</v>
      </c>
      <c r="C1697" s="424"/>
      <c r="D1697" s="424"/>
      <c r="E1697" s="424"/>
      <c r="F1697" s="425"/>
      <c r="G1697" s="426"/>
      <c r="H1697" s="265" t="s">
        <v>500</v>
      </c>
      <c r="I1697" s="266"/>
      <c r="J1697" s="266"/>
      <c r="K1697" s="361"/>
      <c r="L1697" s="266">
        <v>19000</v>
      </c>
      <c r="M1697" s="266">
        <v>18715</v>
      </c>
      <c r="N1697" s="361">
        <f t="shared" si="266"/>
        <v>98.5</v>
      </c>
      <c r="O1697" s="267">
        <f t="shared" si="260"/>
        <v>19000</v>
      </c>
      <c r="P1697" s="267">
        <f t="shared" si="261"/>
        <v>18715</v>
      </c>
      <c r="Q1697" s="361">
        <f t="shared" si="267"/>
        <v>98.5</v>
      </c>
    </row>
    <row r="1698" spans="2:17" x14ac:dyDescent="0.2">
      <c r="B1698" s="1"/>
      <c r="F1698" s="1"/>
      <c r="G1698" s="1"/>
      <c r="I1698" s="1"/>
      <c r="J1698" s="1"/>
      <c r="K1698" s="1"/>
      <c r="L1698" s="1"/>
      <c r="M1698" s="1"/>
      <c r="N1698" s="1"/>
      <c r="O1698" s="1"/>
    </row>
    <row r="1699" spans="2:17" x14ac:dyDescent="0.2">
      <c r="B1699" s="1"/>
      <c r="F1699" s="1"/>
      <c r="G1699" s="1"/>
      <c r="I1699" s="1"/>
      <c r="J1699" s="1"/>
      <c r="K1699" s="1"/>
      <c r="L1699" s="1"/>
      <c r="M1699" s="1"/>
      <c r="N1699" s="1"/>
      <c r="O1699" s="1"/>
    </row>
    <row r="1700" spans="2:17" x14ac:dyDescent="0.2">
      <c r="B1700" s="1"/>
      <c r="F1700" s="1"/>
      <c r="G1700" s="1"/>
      <c r="I1700" s="1"/>
      <c r="J1700" s="1"/>
      <c r="K1700" s="1"/>
      <c r="L1700" s="1"/>
      <c r="M1700" s="1"/>
      <c r="N1700" s="1"/>
      <c r="O1700" s="1"/>
    </row>
    <row r="1701" spans="2:17" s="22" customFormat="1" ht="27.75" x14ac:dyDescent="0.4">
      <c r="B1701" s="499" t="s">
        <v>23</v>
      </c>
      <c r="C1701" s="500"/>
      <c r="D1701" s="500"/>
      <c r="E1701" s="500"/>
      <c r="F1701" s="500"/>
      <c r="G1701" s="500"/>
      <c r="H1701" s="500"/>
      <c r="I1701" s="500"/>
      <c r="J1701" s="500"/>
      <c r="K1701" s="500"/>
      <c r="L1701" s="500"/>
      <c r="M1701" s="500"/>
      <c r="N1701" s="500"/>
      <c r="O1701" s="500"/>
      <c r="P1701" s="1"/>
      <c r="Q1701" s="1"/>
    </row>
    <row r="1702" spans="2:17" ht="15" customHeight="1" x14ac:dyDescent="0.35">
      <c r="B1702" s="509" t="s">
        <v>418</v>
      </c>
      <c r="C1702" s="510"/>
      <c r="D1702" s="510"/>
      <c r="E1702" s="510"/>
      <c r="F1702" s="510"/>
      <c r="G1702" s="510"/>
      <c r="H1702" s="510"/>
      <c r="I1702" s="510"/>
      <c r="J1702" s="510"/>
      <c r="K1702" s="511"/>
      <c r="L1702" s="510"/>
      <c r="M1702" s="510"/>
      <c r="N1702" s="511"/>
      <c r="O1702" s="501" t="s">
        <v>741</v>
      </c>
      <c r="P1702" s="512" t="s">
        <v>739</v>
      </c>
      <c r="Q1702" s="514" t="s">
        <v>738</v>
      </c>
    </row>
    <row r="1703" spans="2:17" ht="12.75" customHeight="1" x14ac:dyDescent="0.2">
      <c r="B1703" s="503"/>
      <c r="C1703" s="504" t="s">
        <v>114</v>
      </c>
      <c r="D1703" s="504" t="s">
        <v>115</v>
      </c>
      <c r="E1703" s="504"/>
      <c r="F1703" s="504" t="s">
        <v>116</v>
      </c>
      <c r="G1703" s="506" t="s">
        <v>117</v>
      </c>
      <c r="H1703" s="507" t="s">
        <v>118</v>
      </c>
      <c r="I1703" s="508" t="s">
        <v>742</v>
      </c>
      <c r="J1703" s="508" t="s">
        <v>744</v>
      </c>
      <c r="K1703" s="517" t="s">
        <v>738</v>
      </c>
      <c r="L1703" s="505" t="s">
        <v>743</v>
      </c>
      <c r="M1703" s="508" t="s">
        <v>745</v>
      </c>
      <c r="N1703" s="520" t="s">
        <v>738</v>
      </c>
      <c r="O1703" s="502"/>
      <c r="P1703" s="513"/>
      <c r="Q1703" s="515"/>
    </row>
    <row r="1704" spans="2:17" ht="12.75" customHeight="1" x14ac:dyDescent="0.2">
      <c r="B1704" s="503"/>
      <c r="C1704" s="504"/>
      <c r="D1704" s="504"/>
      <c r="E1704" s="504"/>
      <c r="F1704" s="504"/>
      <c r="G1704" s="506"/>
      <c r="H1704" s="507"/>
      <c r="I1704" s="508"/>
      <c r="J1704" s="508"/>
      <c r="K1704" s="518"/>
      <c r="L1704" s="505"/>
      <c r="M1704" s="508"/>
      <c r="N1704" s="521"/>
      <c r="O1704" s="502"/>
      <c r="P1704" s="513"/>
      <c r="Q1704" s="515"/>
    </row>
    <row r="1705" spans="2:17" ht="12.75" customHeight="1" x14ac:dyDescent="0.2">
      <c r="B1705" s="503"/>
      <c r="C1705" s="504"/>
      <c r="D1705" s="504"/>
      <c r="E1705" s="504"/>
      <c r="F1705" s="504"/>
      <c r="G1705" s="506"/>
      <c r="H1705" s="507"/>
      <c r="I1705" s="508"/>
      <c r="J1705" s="508"/>
      <c r="K1705" s="518"/>
      <c r="L1705" s="505"/>
      <c r="M1705" s="508"/>
      <c r="N1705" s="521"/>
      <c r="O1705" s="502"/>
      <c r="P1705" s="513"/>
      <c r="Q1705" s="515"/>
    </row>
    <row r="1706" spans="2:17" ht="12.75" customHeight="1" x14ac:dyDescent="0.2">
      <c r="B1706" s="503"/>
      <c r="C1706" s="504"/>
      <c r="D1706" s="504"/>
      <c r="E1706" s="504"/>
      <c r="F1706" s="504"/>
      <c r="G1706" s="506"/>
      <c r="H1706" s="507"/>
      <c r="I1706" s="508"/>
      <c r="J1706" s="508"/>
      <c r="K1706" s="519"/>
      <c r="L1706" s="505"/>
      <c r="M1706" s="508"/>
      <c r="N1706" s="521"/>
      <c r="O1706" s="502"/>
      <c r="P1706" s="513"/>
      <c r="Q1706" s="516"/>
    </row>
    <row r="1707" spans="2:17" ht="15.75" x14ac:dyDescent="0.2">
      <c r="B1707" s="18">
        <v>1</v>
      </c>
      <c r="C1707" s="493" t="s">
        <v>23</v>
      </c>
      <c r="D1707" s="494"/>
      <c r="E1707" s="494"/>
      <c r="F1707" s="494"/>
      <c r="G1707" s="494"/>
      <c r="H1707" s="494"/>
      <c r="I1707" s="80">
        <f>I1708+I1730+I1734+I1750+I1777+I1814+I1836+I1847+I1850+I1855+I1870+I1882</f>
        <v>7112420</v>
      </c>
      <c r="J1707" s="80">
        <f>J1708+J1730+J1734+J1750+J1777+J1814+J1836+J1847+J1850+J1855+J1870+J1882</f>
        <v>6417166</v>
      </c>
      <c r="K1707" s="361">
        <f>J1707/I1707*100</f>
        <v>90.224789874613705</v>
      </c>
      <c r="L1707" s="80">
        <f>L1708+L1730+L1734+L1750+L1777+L1814+L1836+L1847+L1850+L1855+L1870</f>
        <v>1752510</v>
      </c>
      <c r="M1707" s="80">
        <f>M1708+M1730+M1734+M1750+M1777+M1814+M1836+M1847+M1850+M1855+M1870</f>
        <v>643726</v>
      </c>
      <c r="N1707" s="361">
        <f t="shared" ref="N1707:N1712" si="268">M1707/L1707*100</f>
        <v>36.731659163143149</v>
      </c>
      <c r="O1707" s="81">
        <f t="shared" ref="O1707:P1710" si="269">I1707+L1707</f>
        <v>8864930</v>
      </c>
      <c r="P1707" s="81">
        <f t="shared" si="269"/>
        <v>7060892</v>
      </c>
      <c r="Q1707" s="361">
        <f t="shared" ref="Q1707:Q1738" si="270">P1707/O1707*100</f>
        <v>79.649720866380221</v>
      </c>
    </row>
    <row r="1708" spans="2:17" ht="15" x14ac:dyDescent="0.2">
      <c r="B1708" s="18">
        <f t="shared" ref="B1708:B1740" si="271">B1707+1</f>
        <v>2</v>
      </c>
      <c r="C1708" s="82">
        <v>1</v>
      </c>
      <c r="D1708" s="495" t="s">
        <v>363</v>
      </c>
      <c r="E1708" s="496"/>
      <c r="F1708" s="496"/>
      <c r="G1708" s="496"/>
      <c r="H1708" s="496"/>
      <c r="I1708" s="83">
        <f>I1709+I1722</f>
        <v>306730</v>
      </c>
      <c r="J1708" s="83">
        <f>J1709+J1722</f>
        <v>277448</v>
      </c>
      <c r="K1708" s="361">
        <f>J1708/I1708*100</f>
        <v>90.453493300296671</v>
      </c>
      <c r="L1708" s="83">
        <f>L1709+L1722</f>
        <v>950800</v>
      </c>
      <c r="M1708" s="83">
        <f>M1709+M1722</f>
        <v>193211</v>
      </c>
      <c r="N1708" s="361">
        <f t="shared" si="268"/>
        <v>20.320887673538074</v>
      </c>
      <c r="O1708" s="99">
        <f t="shared" si="269"/>
        <v>1257530</v>
      </c>
      <c r="P1708" s="99">
        <f t="shared" si="269"/>
        <v>470659</v>
      </c>
      <c r="Q1708" s="361">
        <f t="shared" si="270"/>
        <v>37.427258196623541</v>
      </c>
    </row>
    <row r="1709" spans="2:17" ht="15" x14ac:dyDescent="0.25">
      <c r="B1709" s="18">
        <f t="shared" si="271"/>
        <v>3</v>
      </c>
      <c r="C1709" s="96"/>
      <c r="D1709" s="96">
        <v>1</v>
      </c>
      <c r="E1709" s="497" t="s">
        <v>71</v>
      </c>
      <c r="F1709" s="498"/>
      <c r="G1709" s="498"/>
      <c r="H1709" s="498"/>
      <c r="I1709" s="97">
        <f>I1713</f>
        <v>290900</v>
      </c>
      <c r="J1709" s="97">
        <f>J1713</f>
        <v>261841</v>
      </c>
      <c r="K1709" s="361">
        <f>J1709/I1709*100</f>
        <v>90.010656583018218</v>
      </c>
      <c r="L1709" s="97">
        <f>L1710+L1713</f>
        <v>950800</v>
      </c>
      <c r="M1709" s="97">
        <f>M1710+M1713</f>
        <v>193211</v>
      </c>
      <c r="N1709" s="361">
        <f t="shared" si="268"/>
        <v>20.320887673538074</v>
      </c>
      <c r="O1709" s="98">
        <f t="shared" si="269"/>
        <v>1241700</v>
      </c>
      <c r="P1709" s="98">
        <f t="shared" si="269"/>
        <v>455052</v>
      </c>
      <c r="Q1709" s="361">
        <f t="shared" si="270"/>
        <v>36.647499395989371</v>
      </c>
    </row>
    <row r="1710" spans="2:17" x14ac:dyDescent="0.2">
      <c r="B1710" s="18">
        <f t="shared" si="271"/>
        <v>4</v>
      </c>
      <c r="C1710" s="3"/>
      <c r="D1710" s="3"/>
      <c r="E1710" s="3"/>
      <c r="F1710" s="90" t="s">
        <v>73</v>
      </c>
      <c r="G1710" s="2">
        <v>710</v>
      </c>
      <c r="H1710" s="3" t="s">
        <v>175</v>
      </c>
      <c r="I1710" s="4"/>
      <c r="J1710" s="4"/>
      <c r="K1710" s="361"/>
      <c r="L1710" s="4">
        <f>L1711</f>
        <v>950800</v>
      </c>
      <c r="M1710" s="4">
        <f>M1711</f>
        <v>193211</v>
      </c>
      <c r="N1710" s="361">
        <f t="shared" si="268"/>
        <v>20.320887673538074</v>
      </c>
      <c r="O1710" s="92">
        <f t="shared" si="269"/>
        <v>950800</v>
      </c>
      <c r="P1710" s="92">
        <f t="shared" si="269"/>
        <v>193211</v>
      </c>
      <c r="Q1710" s="361">
        <f t="shared" si="270"/>
        <v>20.320887673538074</v>
      </c>
    </row>
    <row r="1711" spans="2:17" x14ac:dyDescent="0.2">
      <c r="B1711" s="18">
        <f t="shared" si="271"/>
        <v>5</v>
      </c>
      <c r="C1711" s="6"/>
      <c r="D1711" s="6"/>
      <c r="E1711" s="6"/>
      <c r="F1711" s="93"/>
      <c r="G1711" s="5">
        <v>717</v>
      </c>
      <c r="H1711" s="6" t="s">
        <v>182</v>
      </c>
      <c r="I1711" s="7"/>
      <c r="J1711" s="7"/>
      <c r="K1711" s="361"/>
      <c r="L1711" s="7">
        <f>L1712</f>
        <v>950800</v>
      </c>
      <c r="M1711" s="7">
        <f>M1712</f>
        <v>193211</v>
      </c>
      <c r="N1711" s="361">
        <f t="shared" si="268"/>
        <v>20.320887673538074</v>
      </c>
      <c r="O1711" s="95">
        <f>L1711</f>
        <v>950800</v>
      </c>
      <c r="P1711" s="95">
        <f>M1711</f>
        <v>193211</v>
      </c>
      <c r="Q1711" s="361">
        <f t="shared" si="270"/>
        <v>20.320887673538074</v>
      </c>
    </row>
    <row r="1712" spans="2:17" x14ac:dyDescent="0.2">
      <c r="B1712" s="18">
        <f t="shared" si="271"/>
        <v>6</v>
      </c>
      <c r="C1712" s="6"/>
      <c r="D1712" s="6"/>
      <c r="E1712" s="6"/>
      <c r="F1712" s="93"/>
      <c r="G1712" s="5"/>
      <c r="H1712" s="9" t="s">
        <v>493</v>
      </c>
      <c r="I1712" s="7"/>
      <c r="J1712" s="7"/>
      <c r="K1712" s="361"/>
      <c r="L1712" s="10">
        <v>950800</v>
      </c>
      <c r="M1712" s="10">
        <v>193211</v>
      </c>
      <c r="N1712" s="361">
        <f t="shared" si="268"/>
        <v>20.320887673538074</v>
      </c>
      <c r="O1712" s="95">
        <f>L1712</f>
        <v>950800</v>
      </c>
      <c r="P1712" s="95">
        <f>M1712</f>
        <v>193211</v>
      </c>
      <c r="Q1712" s="361">
        <f t="shared" si="270"/>
        <v>20.320887673538074</v>
      </c>
    </row>
    <row r="1713" spans="2:17" ht="15" x14ac:dyDescent="0.25">
      <c r="B1713" s="18">
        <f t="shared" si="271"/>
        <v>7</v>
      </c>
      <c r="C1713" s="176"/>
      <c r="D1713" s="176"/>
      <c r="E1713" s="176">
        <v>5</v>
      </c>
      <c r="F1713" s="177"/>
      <c r="G1713" s="177"/>
      <c r="H1713" s="176" t="s">
        <v>106</v>
      </c>
      <c r="I1713" s="178">
        <f>I1714+I1715+I1716+I1721</f>
        <v>290900</v>
      </c>
      <c r="J1713" s="178">
        <f>J1714+J1715+J1716+J1721</f>
        <v>261841</v>
      </c>
      <c r="K1713" s="361">
        <f t="shared" ref="K1713:K1744" si="272">J1713/I1713*100</f>
        <v>90.010656583018218</v>
      </c>
      <c r="L1713" s="178"/>
      <c r="M1713" s="178"/>
      <c r="N1713" s="361"/>
      <c r="O1713" s="179">
        <f t="shared" ref="O1713:O1744" si="273">I1713+L1713</f>
        <v>290900</v>
      </c>
      <c r="P1713" s="179">
        <f t="shared" ref="P1713:P1744" si="274">J1713+M1713</f>
        <v>261841</v>
      </c>
      <c r="Q1713" s="361">
        <f t="shared" si="270"/>
        <v>90.010656583018218</v>
      </c>
    </row>
    <row r="1714" spans="2:17" x14ac:dyDescent="0.2">
      <c r="B1714" s="18">
        <f t="shared" si="271"/>
        <v>8</v>
      </c>
      <c r="C1714" s="3"/>
      <c r="D1714" s="3"/>
      <c r="E1714" s="3"/>
      <c r="F1714" s="90" t="s">
        <v>75</v>
      </c>
      <c r="G1714" s="2">
        <v>610</v>
      </c>
      <c r="H1714" s="3" t="s">
        <v>131</v>
      </c>
      <c r="I1714" s="4">
        <v>145625</v>
      </c>
      <c r="J1714" s="4">
        <v>133102</v>
      </c>
      <c r="K1714" s="361">
        <f t="shared" si="272"/>
        <v>91.400515021459228</v>
      </c>
      <c r="L1714" s="4"/>
      <c r="M1714" s="4"/>
      <c r="N1714" s="361"/>
      <c r="O1714" s="92">
        <f t="shared" si="273"/>
        <v>145625</v>
      </c>
      <c r="P1714" s="92">
        <f t="shared" si="274"/>
        <v>133102</v>
      </c>
      <c r="Q1714" s="361">
        <f t="shared" si="270"/>
        <v>91.400515021459228</v>
      </c>
    </row>
    <row r="1715" spans="2:17" x14ac:dyDescent="0.2">
      <c r="B1715" s="18">
        <f t="shared" si="271"/>
        <v>9</v>
      </c>
      <c r="C1715" s="3"/>
      <c r="D1715" s="3"/>
      <c r="E1715" s="3"/>
      <c r="F1715" s="90" t="s">
        <v>75</v>
      </c>
      <c r="G1715" s="2">
        <v>620</v>
      </c>
      <c r="H1715" s="3" t="s">
        <v>124</v>
      </c>
      <c r="I1715" s="4">
        <v>52955</v>
      </c>
      <c r="J1715" s="4">
        <v>48650</v>
      </c>
      <c r="K1715" s="361">
        <f t="shared" si="272"/>
        <v>91.870456047587581</v>
      </c>
      <c r="L1715" s="4"/>
      <c r="M1715" s="4"/>
      <c r="N1715" s="361"/>
      <c r="O1715" s="92">
        <f t="shared" si="273"/>
        <v>52955</v>
      </c>
      <c r="P1715" s="92">
        <f t="shared" si="274"/>
        <v>48650</v>
      </c>
      <c r="Q1715" s="361">
        <f t="shared" si="270"/>
        <v>91.870456047587581</v>
      </c>
    </row>
    <row r="1716" spans="2:17" x14ac:dyDescent="0.2">
      <c r="B1716" s="18">
        <f t="shared" si="271"/>
        <v>10</v>
      </c>
      <c r="C1716" s="3"/>
      <c r="D1716" s="3"/>
      <c r="E1716" s="3"/>
      <c r="F1716" s="90" t="s">
        <v>75</v>
      </c>
      <c r="G1716" s="2">
        <v>630</v>
      </c>
      <c r="H1716" s="3" t="s">
        <v>121</v>
      </c>
      <c r="I1716" s="4">
        <f>I1720+I1719+I1718+I1717</f>
        <v>85320</v>
      </c>
      <c r="J1716" s="4">
        <f>J1720+J1719+J1718+J1717</f>
        <v>73657</v>
      </c>
      <c r="K1716" s="361">
        <f t="shared" si="272"/>
        <v>86.330285982184719</v>
      </c>
      <c r="L1716" s="4"/>
      <c r="M1716" s="4"/>
      <c r="N1716" s="361"/>
      <c r="O1716" s="92">
        <f t="shared" si="273"/>
        <v>85320</v>
      </c>
      <c r="P1716" s="92">
        <f t="shared" si="274"/>
        <v>73657</v>
      </c>
      <c r="Q1716" s="361">
        <f t="shared" si="270"/>
        <v>86.330285982184719</v>
      </c>
    </row>
    <row r="1717" spans="2:17" x14ac:dyDescent="0.2">
      <c r="B1717" s="18">
        <f t="shared" si="271"/>
        <v>11</v>
      </c>
      <c r="C1717" s="6"/>
      <c r="D1717" s="6"/>
      <c r="E1717" s="6"/>
      <c r="F1717" s="93"/>
      <c r="G1717" s="5">
        <v>632</v>
      </c>
      <c r="H1717" s="6" t="s">
        <v>134</v>
      </c>
      <c r="I1717" s="7">
        <f>49500+10000-15000</f>
        <v>44500</v>
      </c>
      <c r="J1717" s="7">
        <v>38058</v>
      </c>
      <c r="K1717" s="361">
        <f t="shared" si="272"/>
        <v>85.523595505617976</v>
      </c>
      <c r="L1717" s="7"/>
      <c r="M1717" s="7"/>
      <c r="N1717" s="361"/>
      <c r="O1717" s="95">
        <f t="shared" si="273"/>
        <v>44500</v>
      </c>
      <c r="P1717" s="95">
        <f t="shared" si="274"/>
        <v>38058</v>
      </c>
      <c r="Q1717" s="361">
        <f t="shared" si="270"/>
        <v>85.523595505617976</v>
      </c>
    </row>
    <row r="1718" spans="2:17" x14ac:dyDescent="0.2">
      <c r="B1718" s="18">
        <f t="shared" si="271"/>
        <v>12</v>
      </c>
      <c r="C1718" s="6"/>
      <c r="D1718" s="6"/>
      <c r="E1718" s="6"/>
      <c r="F1718" s="93"/>
      <c r="G1718" s="5">
        <v>633</v>
      </c>
      <c r="H1718" s="6" t="s">
        <v>125</v>
      </c>
      <c r="I1718" s="7">
        <f>23500+2000+3000</f>
        <v>28500</v>
      </c>
      <c r="J1718" s="7">
        <v>27304</v>
      </c>
      <c r="K1718" s="361">
        <f t="shared" si="272"/>
        <v>95.803508771929828</v>
      </c>
      <c r="L1718" s="7"/>
      <c r="M1718" s="7"/>
      <c r="N1718" s="361"/>
      <c r="O1718" s="95">
        <f t="shared" si="273"/>
        <v>28500</v>
      </c>
      <c r="P1718" s="95">
        <f t="shared" si="274"/>
        <v>27304</v>
      </c>
      <c r="Q1718" s="361">
        <f t="shared" si="270"/>
        <v>95.803508771929828</v>
      </c>
    </row>
    <row r="1719" spans="2:17" x14ac:dyDescent="0.2">
      <c r="B1719" s="18">
        <f t="shared" si="271"/>
        <v>13</v>
      </c>
      <c r="C1719" s="6"/>
      <c r="D1719" s="6"/>
      <c r="E1719" s="6"/>
      <c r="F1719" s="93"/>
      <c r="G1719" s="5">
        <v>635</v>
      </c>
      <c r="H1719" s="6" t="s">
        <v>133</v>
      </c>
      <c r="I1719" s="7">
        <v>3100</v>
      </c>
      <c r="J1719" s="7">
        <v>2932</v>
      </c>
      <c r="K1719" s="361">
        <f t="shared" si="272"/>
        <v>94.58064516129032</v>
      </c>
      <c r="L1719" s="7"/>
      <c r="M1719" s="7"/>
      <c r="N1719" s="361"/>
      <c r="O1719" s="95">
        <f t="shared" si="273"/>
        <v>3100</v>
      </c>
      <c r="P1719" s="95">
        <f t="shared" si="274"/>
        <v>2932</v>
      </c>
      <c r="Q1719" s="361">
        <f t="shared" si="270"/>
        <v>94.58064516129032</v>
      </c>
    </row>
    <row r="1720" spans="2:17" x14ac:dyDescent="0.2">
      <c r="B1720" s="18">
        <f t="shared" si="271"/>
        <v>14</v>
      </c>
      <c r="C1720" s="6"/>
      <c r="D1720" s="6"/>
      <c r="E1720" s="6"/>
      <c r="F1720" s="93"/>
      <c r="G1720" s="5">
        <v>637</v>
      </c>
      <c r="H1720" s="6" t="s">
        <v>122</v>
      </c>
      <c r="I1720" s="7">
        <v>9220</v>
      </c>
      <c r="J1720" s="7">
        <f>4053+1310</f>
        <v>5363</v>
      </c>
      <c r="K1720" s="361">
        <f t="shared" si="272"/>
        <v>58.167028199566161</v>
      </c>
      <c r="L1720" s="7"/>
      <c r="M1720" s="7"/>
      <c r="N1720" s="361"/>
      <c r="O1720" s="95">
        <f t="shared" si="273"/>
        <v>9220</v>
      </c>
      <c r="P1720" s="95">
        <f t="shared" si="274"/>
        <v>5363</v>
      </c>
      <c r="Q1720" s="361">
        <f t="shared" si="270"/>
        <v>58.167028199566161</v>
      </c>
    </row>
    <row r="1721" spans="2:17" x14ac:dyDescent="0.2">
      <c r="B1721" s="18">
        <f t="shared" si="271"/>
        <v>15</v>
      </c>
      <c r="C1721" s="3"/>
      <c r="D1721" s="3"/>
      <c r="E1721" s="3"/>
      <c r="F1721" s="90" t="s">
        <v>75</v>
      </c>
      <c r="G1721" s="2">
        <v>640</v>
      </c>
      <c r="H1721" s="3" t="s">
        <v>129</v>
      </c>
      <c r="I1721" s="4">
        <v>7000</v>
      </c>
      <c r="J1721" s="4">
        <v>6432</v>
      </c>
      <c r="K1721" s="361">
        <f t="shared" si="272"/>
        <v>91.885714285714286</v>
      </c>
      <c r="L1721" s="4"/>
      <c r="M1721" s="4"/>
      <c r="N1721" s="361"/>
      <c r="O1721" s="92">
        <f t="shared" si="273"/>
        <v>7000</v>
      </c>
      <c r="P1721" s="92">
        <f t="shared" si="274"/>
        <v>6432</v>
      </c>
      <c r="Q1721" s="361">
        <f t="shared" si="270"/>
        <v>91.885714285714286</v>
      </c>
    </row>
    <row r="1722" spans="2:17" ht="15" x14ac:dyDescent="0.25">
      <c r="B1722" s="18">
        <f t="shared" si="271"/>
        <v>16</v>
      </c>
      <c r="C1722" s="96"/>
      <c r="D1722" s="96">
        <v>2</v>
      </c>
      <c r="E1722" s="497" t="s">
        <v>288</v>
      </c>
      <c r="F1722" s="498"/>
      <c r="G1722" s="498"/>
      <c r="H1722" s="498"/>
      <c r="I1722" s="97">
        <f>I1723</f>
        <v>15830</v>
      </c>
      <c r="J1722" s="97">
        <f>J1723</f>
        <v>15607</v>
      </c>
      <c r="K1722" s="361">
        <f t="shared" si="272"/>
        <v>98.591282375236887</v>
      </c>
      <c r="L1722" s="97"/>
      <c r="M1722" s="97"/>
      <c r="N1722" s="361"/>
      <c r="O1722" s="98">
        <f t="shared" si="273"/>
        <v>15830</v>
      </c>
      <c r="P1722" s="98">
        <f t="shared" si="274"/>
        <v>15607</v>
      </c>
      <c r="Q1722" s="361">
        <f t="shared" si="270"/>
        <v>98.591282375236887</v>
      </c>
    </row>
    <row r="1723" spans="2:17" ht="15" x14ac:dyDescent="0.25">
      <c r="B1723" s="18">
        <f t="shared" si="271"/>
        <v>17</v>
      </c>
      <c r="C1723" s="176"/>
      <c r="D1723" s="176"/>
      <c r="E1723" s="176">
        <v>5</v>
      </c>
      <c r="F1723" s="177"/>
      <c r="G1723" s="177"/>
      <c r="H1723" s="176" t="s">
        <v>106</v>
      </c>
      <c r="I1723" s="178">
        <f>I1724+I1725+I1726+I1729</f>
        <v>15830</v>
      </c>
      <c r="J1723" s="178">
        <f>J1724+J1725+J1726+J1729</f>
        <v>15607</v>
      </c>
      <c r="K1723" s="361">
        <f t="shared" si="272"/>
        <v>98.591282375236887</v>
      </c>
      <c r="L1723" s="178"/>
      <c r="M1723" s="178"/>
      <c r="N1723" s="361"/>
      <c r="O1723" s="179">
        <f t="shared" si="273"/>
        <v>15830</v>
      </c>
      <c r="P1723" s="179">
        <f t="shared" si="274"/>
        <v>15607</v>
      </c>
      <c r="Q1723" s="361">
        <f t="shared" si="270"/>
        <v>98.591282375236887</v>
      </c>
    </row>
    <row r="1724" spans="2:17" x14ac:dyDescent="0.2">
      <c r="B1724" s="18">
        <f t="shared" si="271"/>
        <v>18</v>
      </c>
      <c r="C1724" s="3"/>
      <c r="D1724" s="3"/>
      <c r="E1724" s="3"/>
      <c r="F1724" s="90" t="s">
        <v>75</v>
      </c>
      <c r="G1724" s="2">
        <v>610</v>
      </c>
      <c r="H1724" s="3" t="s">
        <v>131</v>
      </c>
      <c r="I1724" s="4">
        <f>12400+3486+100-5200</f>
        <v>10786</v>
      </c>
      <c r="J1724" s="4">
        <v>10708</v>
      </c>
      <c r="K1724" s="361">
        <f t="shared" si="272"/>
        <v>99.276840348600032</v>
      </c>
      <c r="L1724" s="4"/>
      <c r="M1724" s="4"/>
      <c r="N1724" s="361"/>
      <c r="O1724" s="92">
        <f t="shared" si="273"/>
        <v>10786</v>
      </c>
      <c r="P1724" s="92">
        <f t="shared" si="274"/>
        <v>10708</v>
      </c>
      <c r="Q1724" s="361">
        <f t="shared" si="270"/>
        <v>99.276840348600032</v>
      </c>
    </row>
    <row r="1725" spans="2:17" x14ac:dyDescent="0.2">
      <c r="B1725" s="18">
        <f t="shared" si="271"/>
        <v>19</v>
      </c>
      <c r="C1725" s="3"/>
      <c r="D1725" s="3"/>
      <c r="E1725" s="3"/>
      <c r="F1725" s="90" t="s">
        <v>75</v>
      </c>
      <c r="G1725" s="2">
        <v>620</v>
      </c>
      <c r="H1725" s="3" t="s">
        <v>124</v>
      </c>
      <c r="I1725" s="4">
        <f>1590+225+2250+130+480+160+755+480-1800</f>
        <v>4270</v>
      </c>
      <c r="J1725" s="4">
        <v>4226</v>
      </c>
      <c r="K1725" s="361">
        <f t="shared" si="272"/>
        <v>98.969555035128806</v>
      </c>
      <c r="L1725" s="4"/>
      <c r="M1725" s="4"/>
      <c r="N1725" s="361"/>
      <c r="O1725" s="92">
        <f t="shared" si="273"/>
        <v>4270</v>
      </c>
      <c r="P1725" s="92">
        <f t="shared" si="274"/>
        <v>4226</v>
      </c>
      <c r="Q1725" s="361">
        <f t="shared" si="270"/>
        <v>98.969555035128806</v>
      </c>
    </row>
    <row r="1726" spans="2:17" x14ac:dyDescent="0.2">
      <c r="B1726" s="18">
        <f t="shared" si="271"/>
        <v>20</v>
      </c>
      <c r="C1726" s="3"/>
      <c r="D1726" s="3"/>
      <c r="E1726" s="3"/>
      <c r="F1726" s="90" t="s">
        <v>75</v>
      </c>
      <c r="G1726" s="2">
        <v>630</v>
      </c>
      <c r="H1726" s="3" t="s">
        <v>121</v>
      </c>
      <c r="I1726" s="4">
        <f>I1728+I1727</f>
        <v>164</v>
      </c>
      <c r="J1726" s="4">
        <f>J1728+J1727</f>
        <v>140</v>
      </c>
      <c r="K1726" s="361">
        <f t="shared" si="272"/>
        <v>85.365853658536579</v>
      </c>
      <c r="L1726" s="4"/>
      <c r="M1726" s="4"/>
      <c r="N1726" s="361"/>
      <c r="O1726" s="92">
        <f t="shared" si="273"/>
        <v>164</v>
      </c>
      <c r="P1726" s="92">
        <f t="shared" si="274"/>
        <v>140</v>
      </c>
      <c r="Q1726" s="361">
        <f t="shared" si="270"/>
        <v>85.365853658536579</v>
      </c>
    </row>
    <row r="1727" spans="2:17" x14ac:dyDescent="0.2">
      <c r="B1727" s="18">
        <f t="shared" si="271"/>
        <v>21</v>
      </c>
      <c r="C1727" s="6"/>
      <c r="D1727" s="6"/>
      <c r="E1727" s="6"/>
      <c r="F1727" s="93"/>
      <c r="G1727" s="5">
        <v>633</v>
      </c>
      <c r="H1727" s="6" t="s">
        <v>125</v>
      </c>
      <c r="I1727" s="7">
        <f>114-100</f>
        <v>14</v>
      </c>
      <c r="J1727" s="7">
        <v>0</v>
      </c>
      <c r="K1727" s="361">
        <f t="shared" si="272"/>
        <v>0</v>
      </c>
      <c r="L1727" s="7"/>
      <c r="M1727" s="7"/>
      <c r="N1727" s="361"/>
      <c r="O1727" s="95">
        <f t="shared" si="273"/>
        <v>14</v>
      </c>
      <c r="P1727" s="95">
        <f t="shared" si="274"/>
        <v>0</v>
      </c>
      <c r="Q1727" s="361">
        <f t="shared" si="270"/>
        <v>0</v>
      </c>
    </row>
    <row r="1728" spans="2:17" x14ac:dyDescent="0.2">
      <c r="B1728" s="18">
        <f t="shared" si="271"/>
        <v>22</v>
      </c>
      <c r="C1728" s="6"/>
      <c r="D1728" s="6"/>
      <c r="E1728" s="6"/>
      <c r="F1728" s="93"/>
      <c r="G1728" s="5">
        <v>637</v>
      </c>
      <c r="H1728" s="6" t="s">
        <v>122</v>
      </c>
      <c r="I1728" s="7">
        <f>500-350</f>
        <v>150</v>
      </c>
      <c r="J1728" s="7">
        <v>140</v>
      </c>
      <c r="K1728" s="361">
        <f t="shared" si="272"/>
        <v>93.333333333333329</v>
      </c>
      <c r="L1728" s="7"/>
      <c r="M1728" s="7"/>
      <c r="N1728" s="361"/>
      <c r="O1728" s="95">
        <f t="shared" si="273"/>
        <v>150</v>
      </c>
      <c r="P1728" s="95">
        <f t="shared" si="274"/>
        <v>140</v>
      </c>
      <c r="Q1728" s="361">
        <f t="shared" si="270"/>
        <v>93.333333333333329</v>
      </c>
    </row>
    <row r="1729" spans="2:17" x14ac:dyDescent="0.2">
      <c r="B1729" s="18">
        <f t="shared" si="271"/>
        <v>23</v>
      </c>
      <c r="C1729" s="3"/>
      <c r="D1729" s="3"/>
      <c r="E1729" s="3"/>
      <c r="F1729" s="90" t="s">
        <v>75</v>
      </c>
      <c r="G1729" s="2">
        <v>640</v>
      </c>
      <c r="H1729" s="3" t="s">
        <v>129</v>
      </c>
      <c r="I1729" s="4">
        <f>760+200-350</f>
        <v>610</v>
      </c>
      <c r="J1729" s="4">
        <v>533</v>
      </c>
      <c r="K1729" s="361">
        <f t="shared" si="272"/>
        <v>87.377049180327873</v>
      </c>
      <c r="L1729" s="4"/>
      <c r="M1729" s="4"/>
      <c r="N1729" s="361"/>
      <c r="O1729" s="92">
        <f t="shared" si="273"/>
        <v>610</v>
      </c>
      <c r="P1729" s="92">
        <f t="shared" si="274"/>
        <v>533</v>
      </c>
      <c r="Q1729" s="361">
        <f t="shared" si="270"/>
        <v>87.377049180327873</v>
      </c>
    </row>
    <row r="1730" spans="2:17" ht="15" x14ac:dyDescent="0.2">
      <c r="B1730" s="18">
        <f t="shared" si="271"/>
        <v>24</v>
      </c>
      <c r="C1730" s="82">
        <v>2</v>
      </c>
      <c r="D1730" s="495" t="s">
        <v>53</v>
      </c>
      <c r="E1730" s="496"/>
      <c r="F1730" s="496"/>
      <c r="G1730" s="496"/>
      <c r="H1730" s="496"/>
      <c r="I1730" s="83">
        <f>I1731</f>
        <v>1301900</v>
      </c>
      <c r="J1730" s="83">
        <f>J1731</f>
        <v>1123400</v>
      </c>
      <c r="K1730" s="361">
        <f t="shared" si="272"/>
        <v>86.289269529149706</v>
      </c>
      <c r="L1730" s="83"/>
      <c r="M1730" s="83"/>
      <c r="N1730" s="361"/>
      <c r="O1730" s="99">
        <f t="shared" si="273"/>
        <v>1301900</v>
      </c>
      <c r="P1730" s="99">
        <f t="shared" si="274"/>
        <v>1123400</v>
      </c>
      <c r="Q1730" s="361">
        <f t="shared" si="270"/>
        <v>86.289269529149706</v>
      </c>
    </row>
    <row r="1731" spans="2:17" x14ac:dyDescent="0.2">
      <c r="B1731" s="18">
        <f t="shared" si="271"/>
        <v>25</v>
      </c>
      <c r="C1731" s="3"/>
      <c r="D1731" s="3"/>
      <c r="E1731" s="3"/>
      <c r="F1731" s="90" t="s">
        <v>52</v>
      </c>
      <c r="G1731" s="2">
        <v>640</v>
      </c>
      <c r="H1731" s="3" t="s">
        <v>129</v>
      </c>
      <c r="I1731" s="4">
        <f>I1732+I1733</f>
        <v>1301900</v>
      </c>
      <c r="J1731" s="4">
        <f>J1732+J1733</f>
        <v>1123400</v>
      </c>
      <c r="K1731" s="361">
        <f t="shared" si="272"/>
        <v>86.289269529149706</v>
      </c>
      <c r="L1731" s="4"/>
      <c r="M1731" s="4"/>
      <c r="N1731" s="361"/>
      <c r="O1731" s="92">
        <f t="shared" si="273"/>
        <v>1301900</v>
      </c>
      <c r="P1731" s="92">
        <f t="shared" si="274"/>
        <v>1123400</v>
      </c>
      <c r="Q1731" s="361">
        <f t="shared" si="270"/>
        <v>86.289269529149706</v>
      </c>
    </row>
    <row r="1732" spans="2:17" x14ac:dyDescent="0.2">
      <c r="B1732" s="18">
        <f t="shared" si="271"/>
        <v>26</v>
      </c>
      <c r="C1732" s="67"/>
      <c r="D1732" s="67"/>
      <c r="E1732" s="67"/>
      <c r="F1732" s="93"/>
      <c r="G1732" s="5">
        <v>642</v>
      </c>
      <c r="H1732" s="6" t="s">
        <v>130</v>
      </c>
      <c r="I1732" s="11">
        <v>1900</v>
      </c>
      <c r="J1732" s="11">
        <v>1145</v>
      </c>
      <c r="K1732" s="361">
        <f t="shared" si="272"/>
        <v>60.263157894736842</v>
      </c>
      <c r="L1732" s="11"/>
      <c r="M1732" s="11"/>
      <c r="N1732" s="361"/>
      <c r="O1732" s="209">
        <f t="shared" si="273"/>
        <v>1900</v>
      </c>
      <c r="P1732" s="209">
        <f t="shared" si="274"/>
        <v>1145</v>
      </c>
      <c r="Q1732" s="361">
        <f t="shared" si="270"/>
        <v>60.263157894736842</v>
      </c>
    </row>
    <row r="1733" spans="2:17" x14ac:dyDescent="0.2">
      <c r="B1733" s="18">
        <f t="shared" si="271"/>
        <v>27</v>
      </c>
      <c r="C1733" s="67"/>
      <c r="D1733" s="67"/>
      <c r="E1733" s="67"/>
      <c r="F1733" s="93"/>
      <c r="G1733" s="5">
        <v>642</v>
      </c>
      <c r="H1733" s="6" t="s">
        <v>570</v>
      </c>
      <c r="I1733" s="11">
        <f>835000+265000+200000</f>
        <v>1300000</v>
      </c>
      <c r="J1733" s="11">
        <v>1122255</v>
      </c>
      <c r="K1733" s="361">
        <f t="shared" si="272"/>
        <v>86.327307692307699</v>
      </c>
      <c r="L1733" s="11"/>
      <c r="M1733" s="11"/>
      <c r="N1733" s="361"/>
      <c r="O1733" s="209">
        <f t="shared" si="273"/>
        <v>1300000</v>
      </c>
      <c r="P1733" s="209">
        <f t="shared" si="274"/>
        <v>1122255</v>
      </c>
      <c r="Q1733" s="361">
        <f t="shared" si="270"/>
        <v>86.327307692307699</v>
      </c>
    </row>
    <row r="1734" spans="2:17" ht="15" x14ac:dyDescent="0.2">
      <c r="B1734" s="18">
        <f t="shared" si="271"/>
        <v>28</v>
      </c>
      <c r="C1734" s="82">
        <v>3</v>
      </c>
      <c r="D1734" s="495" t="s">
        <v>62</v>
      </c>
      <c r="E1734" s="496"/>
      <c r="F1734" s="496"/>
      <c r="G1734" s="496"/>
      <c r="H1734" s="496"/>
      <c r="I1734" s="83">
        <f>I1735+I1743+I1744+I1746</f>
        <v>213700</v>
      </c>
      <c r="J1734" s="83">
        <f>J1735+J1743+J1744+J1746</f>
        <v>204310</v>
      </c>
      <c r="K1734" s="361">
        <f t="shared" si="272"/>
        <v>95.60598970519419</v>
      </c>
      <c r="L1734" s="83"/>
      <c r="M1734" s="83"/>
      <c r="N1734" s="361"/>
      <c r="O1734" s="99">
        <f t="shared" si="273"/>
        <v>213700</v>
      </c>
      <c r="P1734" s="99">
        <f t="shared" si="274"/>
        <v>204310</v>
      </c>
      <c r="Q1734" s="361">
        <f t="shared" si="270"/>
        <v>95.60598970519419</v>
      </c>
    </row>
    <row r="1735" spans="2:17" x14ac:dyDescent="0.2">
      <c r="B1735" s="18">
        <f t="shared" si="271"/>
        <v>29</v>
      </c>
      <c r="C1735" s="3"/>
      <c r="D1735" s="3"/>
      <c r="E1735" s="3"/>
      <c r="F1735" s="90" t="s">
        <v>61</v>
      </c>
      <c r="G1735" s="2">
        <v>640</v>
      </c>
      <c r="H1735" s="3" t="s">
        <v>129</v>
      </c>
      <c r="I1735" s="4">
        <f>SUM(I1736:I1742)</f>
        <v>138250</v>
      </c>
      <c r="J1735" s="4">
        <f>SUM(J1736:J1742)</f>
        <v>138250</v>
      </c>
      <c r="K1735" s="361">
        <f t="shared" si="272"/>
        <v>100</v>
      </c>
      <c r="L1735" s="4"/>
      <c r="M1735" s="4"/>
      <c r="N1735" s="361"/>
      <c r="O1735" s="92">
        <f t="shared" si="273"/>
        <v>138250</v>
      </c>
      <c r="P1735" s="92">
        <f t="shared" si="274"/>
        <v>138250</v>
      </c>
      <c r="Q1735" s="361">
        <f t="shared" si="270"/>
        <v>100</v>
      </c>
    </row>
    <row r="1736" spans="2:17" x14ac:dyDescent="0.2">
      <c r="B1736" s="18">
        <f t="shared" si="271"/>
        <v>30</v>
      </c>
      <c r="C1736" s="100"/>
      <c r="D1736" s="100"/>
      <c r="E1736" s="100"/>
      <c r="F1736" s="268"/>
      <c r="G1736" s="268"/>
      <c r="H1736" s="102" t="s">
        <v>263</v>
      </c>
      <c r="I1736" s="103">
        <v>35000</v>
      </c>
      <c r="J1736" s="103">
        <v>35000</v>
      </c>
      <c r="K1736" s="361">
        <f t="shared" si="272"/>
        <v>100</v>
      </c>
      <c r="L1736" s="269"/>
      <c r="M1736" s="269"/>
      <c r="N1736" s="361"/>
      <c r="O1736" s="105">
        <f t="shared" si="273"/>
        <v>35000</v>
      </c>
      <c r="P1736" s="105">
        <f t="shared" si="274"/>
        <v>35000</v>
      </c>
      <c r="Q1736" s="361">
        <f t="shared" si="270"/>
        <v>100</v>
      </c>
    </row>
    <row r="1737" spans="2:17" ht="24" x14ac:dyDescent="0.2">
      <c r="B1737" s="18">
        <f t="shared" si="271"/>
        <v>31</v>
      </c>
      <c r="C1737" s="100"/>
      <c r="D1737" s="100"/>
      <c r="E1737" s="100"/>
      <c r="F1737" s="268"/>
      <c r="G1737" s="268"/>
      <c r="H1737" s="102" t="s">
        <v>386</v>
      </c>
      <c r="I1737" s="103">
        <f>22000+30000</f>
        <v>52000</v>
      </c>
      <c r="J1737" s="103">
        <v>52000</v>
      </c>
      <c r="K1737" s="361">
        <f t="shared" si="272"/>
        <v>100</v>
      </c>
      <c r="L1737" s="269"/>
      <c r="M1737" s="269"/>
      <c r="N1737" s="361"/>
      <c r="O1737" s="105">
        <f t="shared" si="273"/>
        <v>52000</v>
      </c>
      <c r="P1737" s="105">
        <f t="shared" si="274"/>
        <v>52000</v>
      </c>
      <c r="Q1737" s="361">
        <f t="shared" si="270"/>
        <v>100</v>
      </c>
    </row>
    <row r="1738" spans="2:17" x14ac:dyDescent="0.2">
      <c r="B1738" s="18">
        <f t="shared" si="271"/>
        <v>32</v>
      </c>
      <c r="C1738" s="100"/>
      <c r="D1738" s="100"/>
      <c r="E1738" s="100"/>
      <c r="F1738" s="268"/>
      <c r="G1738" s="268"/>
      <c r="H1738" s="102" t="s">
        <v>387</v>
      </c>
      <c r="I1738" s="103">
        <v>20000</v>
      </c>
      <c r="J1738" s="103">
        <v>20000</v>
      </c>
      <c r="K1738" s="361">
        <f t="shared" si="272"/>
        <v>100</v>
      </c>
      <c r="L1738" s="269"/>
      <c r="M1738" s="269"/>
      <c r="N1738" s="361"/>
      <c r="O1738" s="105">
        <f t="shared" si="273"/>
        <v>20000</v>
      </c>
      <c r="P1738" s="105">
        <f t="shared" si="274"/>
        <v>20000</v>
      </c>
      <c r="Q1738" s="361">
        <f t="shared" si="270"/>
        <v>100</v>
      </c>
    </row>
    <row r="1739" spans="2:17" ht="24" x14ac:dyDescent="0.2">
      <c r="B1739" s="18">
        <f t="shared" si="271"/>
        <v>33</v>
      </c>
      <c r="C1739" s="100"/>
      <c r="D1739" s="100"/>
      <c r="E1739" s="100"/>
      <c r="F1739" s="268"/>
      <c r="G1739" s="268"/>
      <c r="H1739" s="102" t="s">
        <v>686</v>
      </c>
      <c r="I1739" s="103">
        <v>15000</v>
      </c>
      <c r="J1739" s="103">
        <v>15000</v>
      </c>
      <c r="K1739" s="361">
        <f t="shared" si="272"/>
        <v>100</v>
      </c>
      <c r="L1739" s="269"/>
      <c r="M1739" s="269"/>
      <c r="N1739" s="361"/>
      <c r="O1739" s="105">
        <f t="shared" si="273"/>
        <v>15000</v>
      </c>
      <c r="P1739" s="105">
        <f t="shared" si="274"/>
        <v>15000</v>
      </c>
      <c r="Q1739" s="361">
        <f t="shared" ref="Q1739:Q1770" si="275">P1739/O1739*100</f>
        <v>100</v>
      </c>
    </row>
    <row r="1740" spans="2:17" ht="24" x14ac:dyDescent="0.2">
      <c r="B1740" s="18">
        <f t="shared" si="271"/>
        <v>34</v>
      </c>
      <c r="C1740" s="100"/>
      <c r="D1740" s="100"/>
      <c r="E1740" s="100"/>
      <c r="F1740" s="268"/>
      <c r="G1740" s="268"/>
      <c r="H1740" s="102" t="s">
        <v>290</v>
      </c>
      <c r="I1740" s="103">
        <v>4000</v>
      </c>
      <c r="J1740" s="103">
        <v>4000</v>
      </c>
      <c r="K1740" s="361">
        <f t="shared" si="272"/>
        <v>100</v>
      </c>
      <c r="L1740" s="269"/>
      <c r="M1740" s="269"/>
      <c r="N1740" s="361"/>
      <c r="O1740" s="105">
        <f t="shared" si="273"/>
        <v>4000</v>
      </c>
      <c r="P1740" s="105">
        <f t="shared" si="274"/>
        <v>4000</v>
      </c>
      <c r="Q1740" s="361">
        <f t="shared" si="275"/>
        <v>100</v>
      </c>
    </row>
    <row r="1741" spans="2:17" ht="24" x14ac:dyDescent="0.2">
      <c r="B1741" s="18"/>
      <c r="C1741" s="100"/>
      <c r="D1741" s="100"/>
      <c r="E1741" s="100"/>
      <c r="F1741" s="268"/>
      <c r="G1741" s="268"/>
      <c r="H1741" s="102" t="s">
        <v>729</v>
      </c>
      <c r="I1741" s="103">
        <v>3250</v>
      </c>
      <c r="J1741" s="103">
        <v>3250</v>
      </c>
      <c r="K1741" s="361">
        <f t="shared" si="272"/>
        <v>100</v>
      </c>
      <c r="L1741" s="269"/>
      <c r="M1741" s="269"/>
      <c r="N1741" s="361"/>
      <c r="O1741" s="105">
        <f t="shared" si="273"/>
        <v>3250</v>
      </c>
      <c r="P1741" s="105">
        <f t="shared" si="274"/>
        <v>3250</v>
      </c>
      <c r="Q1741" s="361">
        <f t="shared" si="275"/>
        <v>100</v>
      </c>
    </row>
    <row r="1742" spans="2:17" ht="24" x14ac:dyDescent="0.2">
      <c r="B1742" s="18">
        <f>B1740+1</f>
        <v>35</v>
      </c>
      <c r="C1742" s="100"/>
      <c r="D1742" s="100"/>
      <c r="E1742" s="100"/>
      <c r="F1742" s="268"/>
      <c r="G1742" s="268"/>
      <c r="H1742" s="102" t="s">
        <v>499</v>
      </c>
      <c r="I1742" s="103">
        <v>9000</v>
      </c>
      <c r="J1742" s="103">
        <v>9000</v>
      </c>
      <c r="K1742" s="361">
        <f t="shared" si="272"/>
        <v>100</v>
      </c>
      <c r="L1742" s="269"/>
      <c r="M1742" s="269"/>
      <c r="N1742" s="361"/>
      <c r="O1742" s="105">
        <f t="shared" si="273"/>
        <v>9000</v>
      </c>
      <c r="P1742" s="105">
        <f t="shared" si="274"/>
        <v>9000</v>
      </c>
      <c r="Q1742" s="361">
        <f t="shared" si="275"/>
        <v>100</v>
      </c>
    </row>
    <row r="1743" spans="2:17" x14ac:dyDescent="0.2">
      <c r="B1743" s="18">
        <f t="shared" ref="B1743:B1774" si="276">B1742+1</f>
        <v>36</v>
      </c>
      <c r="C1743" s="67"/>
      <c r="D1743" s="67"/>
      <c r="E1743" s="67"/>
      <c r="F1743" s="90" t="s">
        <v>77</v>
      </c>
      <c r="G1743" s="2">
        <v>620</v>
      </c>
      <c r="H1743" s="3" t="s">
        <v>124</v>
      </c>
      <c r="I1743" s="4">
        <v>2000</v>
      </c>
      <c r="J1743" s="4">
        <v>1240</v>
      </c>
      <c r="K1743" s="361">
        <f t="shared" si="272"/>
        <v>62</v>
      </c>
      <c r="L1743" s="11"/>
      <c r="M1743" s="11"/>
      <c r="N1743" s="361"/>
      <c r="O1743" s="209">
        <f t="shared" si="273"/>
        <v>2000</v>
      </c>
      <c r="P1743" s="209">
        <f t="shared" si="274"/>
        <v>1240</v>
      </c>
      <c r="Q1743" s="361">
        <f t="shared" si="275"/>
        <v>62</v>
      </c>
    </row>
    <row r="1744" spans="2:17" x14ac:dyDescent="0.2">
      <c r="B1744" s="18">
        <f t="shared" si="276"/>
        <v>37</v>
      </c>
      <c r="C1744" s="67"/>
      <c r="D1744" s="67"/>
      <c r="E1744" s="67"/>
      <c r="F1744" s="90" t="s">
        <v>77</v>
      </c>
      <c r="G1744" s="2">
        <v>630</v>
      </c>
      <c r="H1744" s="3" t="s">
        <v>121</v>
      </c>
      <c r="I1744" s="4">
        <f>I1745</f>
        <v>5000</v>
      </c>
      <c r="J1744" s="4">
        <f>J1745</f>
        <v>3456</v>
      </c>
      <c r="K1744" s="361">
        <f t="shared" si="272"/>
        <v>69.12</v>
      </c>
      <c r="L1744" s="11"/>
      <c r="M1744" s="11"/>
      <c r="N1744" s="361"/>
      <c r="O1744" s="209">
        <f t="shared" si="273"/>
        <v>5000</v>
      </c>
      <c r="P1744" s="209">
        <f t="shared" si="274"/>
        <v>3456</v>
      </c>
      <c r="Q1744" s="361">
        <f t="shared" si="275"/>
        <v>69.12</v>
      </c>
    </row>
    <row r="1745" spans="2:17" x14ac:dyDescent="0.2">
      <c r="B1745" s="18">
        <f t="shared" si="276"/>
        <v>38</v>
      </c>
      <c r="C1745" s="67"/>
      <c r="D1745" s="67"/>
      <c r="E1745" s="67"/>
      <c r="F1745" s="8"/>
      <c r="G1745" s="5">
        <v>637</v>
      </c>
      <c r="H1745" s="6" t="s">
        <v>122</v>
      </c>
      <c r="I1745" s="11">
        <v>5000</v>
      </c>
      <c r="J1745" s="11">
        <v>3456</v>
      </c>
      <c r="K1745" s="361">
        <f t="shared" ref="K1745:K1761" si="277">J1745/I1745*100</f>
        <v>69.12</v>
      </c>
      <c r="L1745" s="11"/>
      <c r="M1745" s="11"/>
      <c r="N1745" s="361"/>
      <c r="O1745" s="209">
        <f t="shared" ref="O1745:O1776" si="278">I1745+L1745</f>
        <v>5000</v>
      </c>
      <c r="P1745" s="209">
        <f t="shared" ref="P1745:P1776" si="279">J1745+M1745</f>
        <v>3456</v>
      </c>
      <c r="Q1745" s="361">
        <f t="shared" si="275"/>
        <v>69.12</v>
      </c>
    </row>
    <row r="1746" spans="2:17" x14ac:dyDescent="0.2">
      <c r="B1746" s="18">
        <f t="shared" si="276"/>
        <v>39</v>
      </c>
      <c r="C1746" s="67"/>
      <c r="D1746" s="67"/>
      <c r="E1746" s="67"/>
      <c r="F1746" s="90" t="s">
        <v>77</v>
      </c>
      <c r="G1746" s="2">
        <v>640</v>
      </c>
      <c r="H1746" s="3" t="s">
        <v>129</v>
      </c>
      <c r="I1746" s="4">
        <f>I1747</f>
        <v>68450</v>
      </c>
      <c r="J1746" s="4">
        <f>J1747</f>
        <v>61364</v>
      </c>
      <c r="K1746" s="361">
        <f t="shared" si="277"/>
        <v>89.647918188458732</v>
      </c>
      <c r="L1746" s="11"/>
      <c r="M1746" s="11"/>
      <c r="N1746" s="361"/>
      <c r="O1746" s="209">
        <f t="shared" si="278"/>
        <v>68450</v>
      </c>
      <c r="P1746" s="209">
        <f t="shared" si="279"/>
        <v>61364</v>
      </c>
      <c r="Q1746" s="361">
        <f t="shared" si="275"/>
        <v>89.647918188458732</v>
      </c>
    </row>
    <row r="1747" spans="2:17" x14ac:dyDescent="0.2">
      <c r="B1747" s="18">
        <f t="shared" si="276"/>
        <v>40</v>
      </c>
      <c r="C1747" s="67"/>
      <c r="D1747" s="67"/>
      <c r="E1747" s="67"/>
      <c r="F1747" s="8"/>
      <c r="G1747" s="5">
        <v>642</v>
      </c>
      <c r="H1747" s="6" t="s">
        <v>130</v>
      </c>
      <c r="I1747" s="10">
        <f>I1748+I1749</f>
        <v>68450</v>
      </c>
      <c r="J1747" s="10">
        <f>J1748+J1749</f>
        <v>61364</v>
      </c>
      <c r="K1747" s="361">
        <f t="shared" si="277"/>
        <v>89.647918188458732</v>
      </c>
      <c r="L1747" s="11"/>
      <c r="M1747" s="11"/>
      <c r="N1747" s="361"/>
      <c r="O1747" s="209">
        <f t="shared" si="278"/>
        <v>68450</v>
      </c>
      <c r="P1747" s="209">
        <f t="shared" si="279"/>
        <v>61364</v>
      </c>
      <c r="Q1747" s="361">
        <f t="shared" si="275"/>
        <v>89.647918188458732</v>
      </c>
    </row>
    <row r="1748" spans="2:17" x14ac:dyDescent="0.2">
      <c r="B1748" s="18">
        <f t="shared" si="276"/>
        <v>41</v>
      </c>
      <c r="C1748" s="67"/>
      <c r="D1748" s="67"/>
      <c r="E1748" s="67"/>
      <c r="F1748" s="8"/>
      <c r="G1748" s="8"/>
      <c r="H1748" s="9" t="s">
        <v>14</v>
      </c>
      <c r="I1748" s="10">
        <f>28000-2300-2000-2000-3250</f>
        <v>18450</v>
      </c>
      <c r="J1748" s="10">
        <v>17244</v>
      </c>
      <c r="K1748" s="361">
        <f t="shared" si="277"/>
        <v>93.463414634146346</v>
      </c>
      <c r="L1748" s="11"/>
      <c r="M1748" s="11"/>
      <c r="N1748" s="361"/>
      <c r="O1748" s="108">
        <f t="shared" si="278"/>
        <v>18450</v>
      </c>
      <c r="P1748" s="108">
        <f t="shared" si="279"/>
        <v>17244</v>
      </c>
      <c r="Q1748" s="361">
        <f t="shared" si="275"/>
        <v>93.463414634146346</v>
      </c>
    </row>
    <row r="1749" spans="2:17" x14ac:dyDescent="0.2">
      <c r="B1749" s="18">
        <f t="shared" si="276"/>
        <v>42</v>
      </c>
      <c r="C1749" s="67"/>
      <c r="D1749" s="67"/>
      <c r="E1749" s="67"/>
      <c r="F1749" s="8"/>
      <c r="G1749" s="8"/>
      <c r="H1749" s="9" t="s">
        <v>285</v>
      </c>
      <c r="I1749" s="10">
        <v>50000</v>
      </c>
      <c r="J1749" s="10">
        <v>44120</v>
      </c>
      <c r="K1749" s="361">
        <f t="shared" si="277"/>
        <v>88.24</v>
      </c>
      <c r="L1749" s="11"/>
      <c r="M1749" s="11"/>
      <c r="N1749" s="361"/>
      <c r="O1749" s="108">
        <f t="shared" si="278"/>
        <v>50000</v>
      </c>
      <c r="P1749" s="108">
        <f t="shared" si="279"/>
        <v>44120</v>
      </c>
      <c r="Q1749" s="361">
        <f t="shared" si="275"/>
        <v>88.24</v>
      </c>
    </row>
    <row r="1750" spans="2:17" ht="15" x14ac:dyDescent="0.2">
      <c r="B1750" s="18">
        <f t="shared" si="276"/>
        <v>43</v>
      </c>
      <c r="C1750" s="82">
        <v>4</v>
      </c>
      <c r="D1750" s="495" t="s">
        <v>268</v>
      </c>
      <c r="E1750" s="496"/>
      <c r="F1750" s="496"/>
      <c r="G1750" s="496"/>
      <c r="H1750" s="496"/>
      <c r="I1750" s="83">
        <f>I1751+I1765+I1776</f>
        <v>185050</v>
      </c>
      <c r="J1750" s="83">
        <f>J1751+J1765+J1776</f>
        <v>164732</v>
      </c>
      <c r="K1750" s="361">
        <f t="shared" si="277"/>
        <v>89.020264793299106</v>
      </c>
      <c r="L1750" s="83">
        <f>L1752</f>
        <v>6710</v>
      </c>
      <c r="M1750" s="83">
        <f>M1752</f>
        <v>6710</v>
      </c>
      <c r="N1750" s="361">
        <f>M1750/L1750*100</f>
        <v>100</v>
      </c>
      <c r="O1750" s="99">
        <f t="shared" si="278"/>
        <v>191760</v>
      </c>
      <c r="P1750" s="99">
        <f t="shared" si="279"/>
        <v>171442</v>
      </c>
      <c r="Q1750" s="361">
        <f t="shared" si="275"/>
        <v>89.404463913224859</v>
      </c>
    </row>
    <row r="1751" spans="2:17" ht="15" x14ac:dyDescent="0.25">
      <c r="B1751" s="18">
        <f t="shared" si="276"/>
        <v>44</v>
      </c>
      <c r="C1751" s="96"/>
      <c r="D1751" s="96">
        <v>1</v>
      </c>
      <c r="E1751" s="497" t="s">
        <v>55</v>
      </c>
      <c r="F1751" s="498"/>
      <c r="G1751" s="498"/>
      <c r="H1751" s="498"/>
      <c r="I1751" s="97">
        <f>I1752</f>
        <v>97020</v>
      </c>
      <c r="J1751" s="97">
        <f>J1752</f>
        <v>81167</v>
      </c>
      <c r="K1751" s="361">
        <f t="shared" si="277"/>
        <v>83.660070088641518</v>
      </c>
      <c r="L1751" s="97"/>
      <c r="M1751" s="97"/>
      <c r="N1751" s="361"/>
      <c r="O1751" s="98">
        <f t="shared" si="278"/>
        <v>97020</v>
      </c>
      <c r="P1751" s="98">
        <f t="shared" si="279"/>
        <v>81167</v>
      </c>
      <c r="Q1751" s="361">
        <f t="shared" si="275"/>
        <v>83.660070088641518</v>
      </c>
    </row>
    <row r="1752" spans="2:17" ht="15" x14ac:dyDescent="0.25">
      <c r="B1752" s="18">
        <f t="shared" si="276"/>
        <v>45</v>
      </c>
      <c r="C1752" s="176"/>
      <c r="D1752" s="176"/>
      <c r="E1752" s="176">
        <v>5</v>
      </c>
      <c r="F1752" s="177"/>
      <c r="G1752" s="177"/>
      <c r="H1752" s="176" t="s">
        <v>106</v>
      </c>
      <c r="I1752" s="178">
        <f>I1753+I1754+I1755+I1761</f>
        <v>97020</v>
      </c>
      <c r="J1752" s="178">
        <f>J1753+J1754+J1755+J1761</f>
        <v>81167</v>
      </c>
      <c r="K1752" s="361">
        <f t="shared" si="277"/>
        <v>83.660070088641518</v>
      </c>
      <c r="L1752" s="178">
        <f>L1762</f>
        <v>6710</v>
      </c>
      <c r="M1752" s="178">
        <f>M1762</f>
        <v>6710</v>
      </c>
      <c r="N1752" s="361">
        <f>M1752/L1752*100</f>
        <v>100</v>
      </c>
      <c r="O1752" s="179">
        <f t="shared" si="278"/>
        <v>103730</v>
      </c>
      <c r="P1752" s="179">
        <f t="shared" si="279"/>
        <v>87877</v>
      </c>
      <c r="Q1752" s="361">
        <f t="shared" si="275"/>
        <v>84.717053889906495</v>
      </c>
    </row>
    <row r="1753" spans="2:17" x14ac:dyDescent="0.2">
      <c r="B1753" s="18">
        <f t="shared" si="276"/>
        <v>46</v>
      </c>
      <c r="C1753" s="3"/>
      <c r="D1753" s="3"/>
      <c r="E1753" s="3"/>
      <c r="F1753" s="90" t="s">
        <v>52</v>
      </c>
      <c r="G1753" s="2">
        <v>610</v>
      </c>
      <c r="H1753" s="3" t="s">
        <v>131</v>
      </c>
      <c r="I1753" s="4">
        <f>23500+16500</f>
        <v>40000</v>
      </c>
      <c r="J1753" s="4">
        <v>35020</v>
      </c>
      <c r="K1753" s="361">
        <f t="shared" si="277"/>
        <v>87.55</v>
      </c>
      <c r="L1753" s="4"/>
      <c r="M1753" s="4"/>
      <c r="N1753" s="361"/>
      <c r="O1753" s="92">
        <f t="shared" si="278"/>
        <v>40000</v>
      </c>
      <c r="P1753" s="92">
        <f t="shared" si="279"/>
        <v>35020</v>
      </c>
      <c r="Q1753" s="361">
        <f t="shared" si="275"/>
        <v>87.55</v>
      </c>
    </row>
    <row r="1754" spans="2:17" x14ac:dyDescent="0.2">
      <c r="B1754" s="18">
        <f t="shared" si="276"/>
        <v>47</v>
      </c>
      <c r="C1754" s="3"/>
      <c r="D1754" s="3"/>
      <c r="E1754" s="3"/>
      <c r="F1754" s="90" t="s">
        <v>52</v>
      </c>
      <c r="G1754" s="2">
        <v>620</v>
      </c>
      <c r="H1754" s="3" t="s">
        <v>124</v>
      </c>
      <c r="I1754" s="4">
        <f>3500+1160+650+6520+370+1400+460+2210+350</f>
        <v>16620</v>
      </c>
      <c r="J1754" s="4">
        <v>12518</v>
      </c>
      <c r="K1754" s="361">
        <f t="shared" si="277"/>
        <v>75.318892900120332</v>
      </c>
      <c r="L1754" s="4"/>
      <c r="M1754" s="4"/>
      <c r="N1754" s="361"/>
      <c r="O1754" s="92">
        <f t="shared" si="278"/>
        <v>16620</v>
      </c>
      <c r="P1754" s="92">
        <f t="shared" si="279"/>
        <v>12518</v>
      </c>
      <c r="Q1754" s="361">
        <f t="shared" si="275"/>
        <v>75.318892900120332</v>
      </c>
    </row>
    <row r="1755" spans="2:17" x14ac:dyDescent="0.2">
      <c r="B1755" s="18">
        <f t="shared" si="276"/>
        <v>48</v>
      </c>
      <c r="C1755" s="3"/>
      <c r="D1755" s="3"/>
      <c r="E1755" s="3"/>
      <c r="F1755" s="90" t="s">
        <v>52</v>
      </c>
      <c r="G1755" s="2">
        <v>630</v>
      </c>
      <c r="H1755" s="3" t="s">
        <v>121</v>
      </c>
      <c r="I1755" s="4">
        <f>SUM(I1756:I1760)</f>
        <v>35880</v>
      </c>
      <c r="J1755" s="4">
        <f>SUM(J1756:J1760)</f>
        <v>31169</v>
      </c>
      <c r="K1755" s="361">
        <f t="shared" si="277"/>
        <v>86.870122630992199</v>
      </c>
      <c r="L1755" s="4"/>
      <c r="M1755" s="4"/>
      <c r="N1755" s="361"/>
      <c r="O1755" s="92">
        <f t="shared" si="278"/>
        <v>35880</v>
      </c>
      <c r="P1755" s="92">
        <f t="shared" si="279"/>
        <v>31169</v>
      </c>
      <c r="Q1755" s="361">
        <f t="shared" si="275"/>
        <v>86.870122630992199</v>
      </c>
    </row>
    <row r="1756" spans="2:17" x14ac:dyDescent="0.2">
      <c r="B1756" s="18">
        <f t="shared" si="276"/>
        <v>49</v>
      </c>
      <c r="C1756" s="6"/>
      <c r="D1756" s="6"/>
      <c r="E1756" s="6"/>
      <c r="F1756" s="93"/>
      <c r="G1756" s="5">
        <v>632</v>
      </c>
      <c r="H1756" s="6" t="s">
        <v>134</v>
      </c>
      <c r="I1756" s="7">
        <f>8000+30+5000</f>
        <v>13030</v>
      </c>
      <c r="J1756" s="7">
        <v>11528</v>
      </c>
      <c r="K1756" s="361">
        <f t="shared" si="277"/>
        <v>88.472755180353033</v>
      </c>
      <c r="L1756" s="7"/>
      <c r="M1756" s="7"/>
      <c r="N1756" s="361"/>
      <c r="O1756" s="95">
        <f t="shared" si="278"/>
        <v>13030</v>
      </c>
      <c r="P1756" s="95">
        <f t="shared" si="279"/>
        <v>11528</v>
      </c>
      <c r="Q1756" s="361">
        <f t="shared" si="275"/>
        <v>88.472755180353033</v>
      </c>
    </row>
    <row r="1757" spans="2:17" x14ac:dyDescent="0.2">
      <c r="B1757" s="18">
        <f t="shared" si="276"/>
        <v>50</v>
      </c>
      <c r="C1757" s="6"/>
      <c r="D1757" s="6"/>
      <c r="E1757" s="6"/>
      <c r="F1757" s="93"/>
      <c r="G1757" s="5">
        <v>633</v>
      </c>
      <c r="H1757" s="6" t="s">
        <v>125</v>
      </c>
      <c r="I1757" s="7">
        <f>1500+2000+700</f>
        <v>4200</v>
      </c>
      <c r="J1757" s="7">
        <v>3300</v>
      </c>
      <c r="K1757" s="361">
        <f t="shared" si="277"/>
        <v>78.571428571428569</v>
      </c>
      <c r="L1757" s="7"/>
      <c r="M1757" s="7"/>
      <c r="N1757" s="361"/>
      <c r="O1757" s="95">
        <f t="shared" si="278"/>
        <v>4200</v>
      </c>
      <c r="P1757" s="95">
        <f t="shared" si="279"/>
        <v>3300</v>
      </c>
      <c r="Q1757" s="361">
        <f t="shared" si="275"/>
        <v>78.571428571428569</v>
      </c>
    </row>
    <row r="1758" spans="2:17" x14ac:dyDescent="0.2">
      <c r="B1758" s="18">
        <f t="shared" si="276"/>
        <v>51</v>
      </c>
      <c r="C1758" s="6"/>
      <c r="D1758" s="6"/>
      <c r="E1758" s="6"/>
      <c r="F1758" s="93"/>
      <c r="G1758" s="5">
        <v>634</v>
      </c>
      <c r="H1758" s="6" t="s">
        <v>132</v>
      </c>
      <c r="I1758" s="7">
        <v>1400</v>
      </c>
      <c r="J1758" s="7">
        <v>1399</v>
      </c>
      <c r="K1758" s="361">
        <f t="shared" si="277"/>
        <v>99.928571428571431</v>
      </c>
      <c r="L1758" s="7"/>
      <c r="M1758" s="7"/>
      <c r="N1758" s="361"/>
      <c r="O1758" s="95">
        <f t="shared" si="278"/>
        <v>1400</v>
      </c>
      <c r="P1758" s="95">
        <f t="shared" si="279"/>
        <v>1399</v>
      </c>
      <c r="Q1758" s="361">
        <f t="shared" si="275"/>
        <v>99.928571428571431</v>
      </c>
    </row>
    <row r="1759" spans="2:17" x14ac:dyDescent="0.2">
      <c r="B1759" s="18">
        <f t="shared" si="276"/>
        <v>52</v>
      </c>
      <c r="C1759" s="6"/>
      <c r="D1759" s="6"/>
      <c r="E1759" s="6"/>
      <c r="F1759" s="93"/>
      <c r="G1759" s="5">
        <v>635</v>
      </c>
      <c r="H1759" s="6" t="s">
        <v>133</v>
      </c>
      <c r="I1759" s="7">
        <f>50+200+250+5000</f>
        <v>5500</v>
      </c>
      <c r="J1759" s="7">
        <v>4253</v>
      </c>
      <c r="K1759" s="361">
        <f t="shared" si="277"/>
        <v>77.327272727272728</v>
      </c>
      <c r="L1759" s="7"/>
      <c r="M1759" s="7"/>
      <c r="N1759" s="361"/>
      <c r="O1759" s="95">
        <f t="shared" si="278"/>
        <v>5500</v>
      </c>
      <c r="P1759" s="95">
        <f t="shared" si="279"/>
        <v>4253</v>
      </c>
      <c r="Q1759" s="361">
        <f t="shared" si="275"/>
        <v>77.327272727272728</v>
      </c>
    </row>
    <row r="1760" spans="2:17" x14ac:dyDescent="0.2">
      <c r="B1760" s="18">
        <f t="shared" si="276"/>
        <v>53</v>
      </c>
      <c r="C1760" s="6"/>
      <c r="D1760" s="6"/>
      <c r="E1760" s="6"/>
      <c r="F1760" s="93"/>
      <c r="G1760" s="5">
        <v>637</v>
      </c>
      <c r="H1760" s="6" t="s">
        <v>122</v>
      </c>
      <c r="I1760" s="7">
        <f>8750+3000</f>
        <v>11750</v>
      </c>
      <c r="J1760" s="7">
        <v>10689</v>
      </c>
      <c r="K1760" s="361">
        <f t="shared" si="277"/>
        <v>90.970212765957442</v>
      </c>
      <c r="L1760" s="7"/>
      <c r="M1760" s="7"/>
      <c r="N1760" s="361"/>
      <c r="O1760" s="95">
        <f t="shared" si="278"/>
        <v>11750</v>
      </c>
      <c r="P1760" s="95">
        <f t="shared" si="279"/>
        <v>10689</v>
      </c>
      <c r="Q1760" s="361">
        <f t="shared" si="275"/>
        <v>90.970212765957442</v>
      </c>
    </row>
    <row r="1761" spans="2:17" x14ac:dyDescent="0.2">
      <c r="B1761" s="18">
        <f t="shared" si="276"/>
        <v>54</v>
      </c>
      <c r="C1761" s="3"/>
      <c r="D1761" s="3"/>
      <c r="E1761" s="3"/>
      <c r="F1761" s="90" t="s">
        <v>52</v>
      </c>
      <c r="G1761" s="2">
        <v>640</v>
      </c>
      <c r="H1761" s="3" t="s">
        <v>129</v>
      </c>
      <c r="I1761" s="4">
        <f>1520+300+2700</f>
        <v>4520</v>
      </c>
      <c r="J1761" s="4">
        <v>2460</v>
      </c>
      <c r="K1761" s="361">
        <f t="shared" si="277"/>
        <v>54.424778761061944</v>
      </c>
      <c r="L1761" s="4"/>
      <c r="M1761" s="4"/>
      <c r="N1761" s="361"/>
      <c r="O1761" s="92">
        <f t="shared" si="278"/>
        <v>4520</v>
      </c>
      <c r="P1761" s="92">
        <f t="shared" si="279"/>
        <v>2460</v>
      </c>
      <c r="Q1761" s="361">
        <f t="shared" si="275"/>
        <v>54.424778761061944</v>
      </c>
    </row>
    <row r="1762" spans="2:17" x14ac:dyDescent="0.2">
      <c r="B1762" s="18">
        <f t="shared" si="276"/>
        <v>55</v>
      </c>
      <c r="C1762" s="3"/>
      <c r="D1762" s="3"/>
      <c r="E1762" s="3"/>
      <c r="F1762" s="90" t="s">
        <v>52</v>
      </c>
      <c r="G1762" s="2">
        <v>710</v>
      </c>
      <c r="H1762" s="3" t="s">
        <v>175</v>
      </c>
      <c r="I1762" s="4"/>
      <c r="J1762" s="4"/>
      <c r="K1762" s="361"/>
      <c r="L1762" s="4">
        <f>L1763</f>
        <v>6710</v>
      </c>
      <c r="M1762" s="4">
        <f>M1763</f>
        <v>6710</v>
      </c>
      <c r="N1762" s="361">
        <f>M1762/L1762*100</f>
        <v>100</v>
      </c>
      <c r="O1762" s="92">
        <f t="shared" si="278"/>
        <v>6710</v>
      </c>
      <c r="P1762" s="92">
        <f t="shared" si="279"/>
        <v>6710</v>
      </c>
      <c r="Q1762" s="361">
        <f t="shared" si="275"/>
        <v>100</v>
      </c>
    </row>
    <row r="1763" spans="2:17" x14ac:dyDescent="0.2">
      <c r="B1763" s="18">
        <f t="shared" si="276"/>
        <v>56</v>
      </c>
      <c r="C1763" s="3"/>
      <c r="D1763" s="3"/>
      <c r="E1763" s="3"/>
      <c r="F1763" s="90"/>
      <c r="G1763" s="5">
        <v>713</v>
      </c>
      <c r="H1763" s="6" t="s">
        <v>176</v>
      </c>
      <c r="I1763" s="7"/>
      <c r="J1763" s="7"/>
      <c r="K1763" s="361"/>
      <c r="L1763" s="7">
        <f>L1764</f>
        <v>6710</v>
      </c>
      <c r="M1763" s="7">
        <f>M1764</f>
        <v>6710</v>
      </c>
      <c r="N1763" s="361">
        <f>M1763/L1763*100</f>
        <v>100</v>
      </c>
      <c r="O1763" s="92">
        <f t="shared" si="278"/>
        <v>6710</v>
      </c>
      <c r="P1763" s="92">
        <f t="shared" si="279"/>
        <v>6710</v>
      </c>
      <c r="Q1763" s="361">
        <f t="shared" si="275"/>
        <v>100</v>
      </c>
    </row>
    <row r="1764" spans="2:17" x14ac:dyDescent="0.2">
      <c r="B1764" s="18">
        <f t="shared" si="276"/>
        <v>57</v>
      </c>
      <c r="C1764" s="3"/>
      <c r="D1764" s="3"/>
      <c r="E1764" s="3"/>
      <c r="F1764" s="90"/>
      <c r="G1764" s="268"/>
      <c r="H1764" s="270" t="s">
        <v>556</v>
      </c>
      <c r="I1764" s="103"/>
      <c r="J1764" s="103"/>
      <c r="K1764" s="361"/>
      <c r="L1764" s="103">
        <v>6710</v>
      </c>
      <c r="M1764" s="103">
        <v>6710</v>
      </c>
      <c r="N1764" s="361">
        <f>M1764/L1764*100</f>
        <v>100</v>
      </c>
      <c r="O1764" s="92">
        <f t="shared" si="278"/>
        <v>6710</v>
      </c>
      <c r="P1764" s="92">
        <f t="shared" si="279"/>
        <v>6710</v>
      </c>
      <c r="Q1764" s="361">
        <f t="shared" si="275"/>
        <v>100</v>
      </c>
    </row>
    <row r="1765" spans="2:17" ht="15" x14ac:dyDescent="0.25">
      <c r="B1765" s="18">
        <f t="shared" si="276"/>
        <v>58</v>
      </c>
      <c r="C1765" s="96"/>
      <c r="D1765" s="96">
        <v>2</v>
      </c>
      <c r="E1765" s="497" t="s">
        <v>267</v>
      </c>
      <c r="F1765" s="498"/>
      <c r="G1765" s="498"/>
      <c r="H1765" s="498"/>
      <c r="I1765" s="97">
        <f>I1766</f>
        <v>88030</v>
      </c>
      <c r="J1765" s="97">
        <f>J1766</f>
        <v>83565</v>
      </c>
      <c r="K1765" s="361">
        <f t="shared" ref="K1765:K1775" si="280">J1765/I1765*100</f>
        <v>94.927865500397587</v>
      </c>
      <c r="L1765" s="97"/>
      <c r="M1765" s="97"/>
      <c r="N1765" s="361"/>
      <c r="O1765" s="98">
        <f t="shared" si="278"/>
        <v>88030</v>
      </c>
      <c r="P1765" s="98">
        <f t="shared" si="279"/>
        <v>83565</v>
      </c>
      <c r="Q1765" s="361">
        <f t="shared" si="275"/>
        <v>94.927865500397587</v>
      </c>
    </row>
    <row r="1766" spans="2:17" ht="15" x14ac:dyDescent="0.25">
      <c r="B1766" s="18">
        <f t="shared" si="276"/>
        <v>59</v>
      </c>
      <c r="C1766" s="176"/>
      <c r="D1766" s="176"/>
      <c r="E1766" s="176">
        <v>5</v>
      </c>
      <c r="F1766" s="177"/>
      <c r="G1766" s="177"/>
      <c r="H1766" s="176" t="s">
        <v>106</v>
      </c>
      <c r="I1766" s="178">
        <f>I1767+I1768+I1769+I1775</f>
        <v>88030</v>
      </c>
      <c r="J1766" s="178">
        <f>J1767+J1768+J1769+J1775</f>
        <v>83565</v>
      </c>
      <c r="K1766" s="361">
        <f t="shared" si="280"/>
        <v>94.927865500397587</v>
      </c>
      <c r="L1766" s="178"/>
      <c r="M1766" s="178"/>
      <c r="N1766" s="361"/>
      <c r="O1766" s="179">
        <f t="shared" si="278"/>
        <v>88030</v>
      </c>
      <c r="P1766" s="179">
        <f t="shared" si="279"/>
        <v>83565</v>
      </c>
      <c r="Q1766" s="361">
        <f t="shared" si="275"/>
        <v>94.927865500397587</v>
      </c>
    </row>
    <row r="1767" spans="2:17" x14ac:dyDescent="0.2">
      <c r="B1767" s="18">
        <f t="shared" si="276"/>
        <v>60</v>
      </c>
      <c r="C1767" s="3"/>
      <c r="D1767" s="3"/>
      <c r="E1767" s="3"/>
      <c r="F1767" s="90" t="s">
        <v>52</v>
      </c>
      <c r="G1767" s="2">
        <v>610</v>
      </c>
      <c r="H1767" s="3" t="s">
        <v>131</v>
      </c>
      <c r="I1767" s="4">
        <f>31730+9200+3870+9500</f>
        <v>54300</v>
      </c>
      <c r="J1767" s="4">
        <v>52644</v>
      </c>
      <c r="K1767" s="361">
        <f t="shared" si="280"/>
        <v>96.950276243093924</v>
      </c>
      <c r="L1767" s="4"/>
      <c r="M1767" s="4"/>
      <c r="N1767" s="361"/>
      <c r="O1767" s="92">
        <f t="shared" si="278"/>
        <v>54300</v>
      </c>
      <c r="P1767" s="92">
        <f t="shared" si="279"/>
        <v>52644</v>
      </c>
      <c r="Q1767" s="361">
        <f t="shared" si="275"/>
        <v>96.950276243093924</v>
      </c>
    </row>
    <row r="1768" spans="2:17" x14ac:dyDescent="0.2">
      <c r="B1768" s="18">
        <f t="shared" si="276"/>
        <v>61</v>
      </c>
      <c r="C1768" s="3"/>
      <c r="D1768" s="3"/>
      <c r="E1768" s="3"/>
      <c r="F1768" s="90" t="s">
        <v>52</v>
      </c>
      <c r="G1768" s="2">
        <v>620</v>
      </c>
      <c r="H1768" s="3" t="s">
        <v>124</v>
      </c>
      <c r="I1768" s="4">
        <f>4480+630+6270+360+1340+450+2130+1350+3100</f>
        <v>20110</v>
      </c>
      <c r="J1768" s="4">
        <v>20100</v>
      </c>
      <c r="K1768" s="361">
        <f t="shared" si="280"/>
        <v>99.950273495773246</v>
      </c>
      <c r="L1768" s="4"/>
      <c r="M1768" s="4"/>
      <c r="N1768" s="361"/>
      <c r="O1768" s="92">
        <f t="shared" si="278"/>
        <v>20110</v>
      </c>
      <c r="P1768" s="92">
        <f t="shared" si="279"/>
        <v>20100</v>
      </c>
      <c r="Q1768" s="361">
        <f t="shared" si="275"/>
        <v>99.950273495773246</v>
      </c>
    </row>
    <row r="1769" spans="2:17" x14ac:dyDescent="0.2">
      <c r="B1769" s="18">
        <f t="shared" si="276"/>
        <v>62</v>
      </c>
      <c r="C1769" s="3"/>
      <c r="D1769" s="3"/>
      <c r="E1769" s="3"/>
      <c r="F1769" s="90" t="s">
        <v>52</v>
      </c>
      <c r="G1769" s="2">
        <v>630</v>
      </c>
      <c r="H1769" s="3" t="s">
        <v>121</v>
      </c>
      <c r="I1769" s="4">
        <f>I1774+I1773+I1772+I1771+I1770</f>
        <v>11120</v>
      </c>
      <c r="J1769" s="4">
        <f>J1774+J1773+J1772+J1771+J1770</f>
        <v>8591</v>
      </c>
      <c r="K1769" s="361">
        <f t="shared" si="280"/>
        <v>77.257194244604321</v>
      </c>
      <c r="L1769" s="4"/>
      <c r="M1769" s="4"/>
      <c r="N1769" s="361"/>
      <c r="O1769" s="92">
        <f t="shared" si="278"/>
        <v>11120</v>
      </c>
      <c r="P1769" s="92">
        <f t="shared" si="279"/>
        <v>8591</v>
      </c>
      <c r="Q1769" s="361">
        <f t="shared" si="275"/>
        <v>77.257194244604321</v>
      </c>
    </row>
    <row r="1770" spans="2:17" x14ac:dyDescent="0.2">
      <c r="B1770" s="18">
        <f t="shared" si="276"/>
        <v>63</v>
      </c>
      <c r="C1770" s="6"/>
      <c r="D1770" s="6"/>
      <c r="E1770" s="6"/>
      <c r="F1770" s="93"/>
      <c r="G1770" s="5">
        <v>631</v>
      </c>
      <c r="H1770" s="6" t="s">
        <v>127</v>
      </c>
      <c r="I1770" s="7">
        <f>50+150</f>
        <v>200</v>
      </c>
      <c r="J1770" s="7">
        <v>141</v>
      </c>
      <c r="K1770" s="361">
        <f t="shared" si="280"/>
        <v>70.5</v>
      </c>
      <c r="L1770" s="7"/>
      <c r="M1770" s="7"/>
      <c r="N1770" s="361"/>
      <c r="O1770" s="95">
        <f t="shared" si="278"/>
        <v>200</v>
      </c>
      <c r="P1770" s="95">
        <f t="shared" si="279"/>
        <v>141</v>
      </c>
      <c r="Q1770" s="361">
        <f t="shared" si="275"/>
        <v>70.5</v>
      </c>
    </row>
    <row r="1771" spans="2:17" x14ac:dyDescent="0.2">
      <c r="B1771" s="18">
        <f t="shared" si="276"/>
        <v>64</v>
      </c>
      <c r="C1771" s="6"/>
      <c r="D1771" s="6"/>
      <c r="E1771" s="6"/>
      <c r="F1771" s="93"/>
      <c r="G1771" s="5">
        <v>632</v>
      </c>
      <c r="H1771" s="6" t="s">
        <v>134</v>
      </c>
      <c r="I1771" s="7">
        <f>9040-5000</f>
        <v>4040</v>
      </c>
      <c r="J1771" s="7">
        <v>2482</v>
      </c>
      <c r="K1771" s="361">
        <f t="shared" si="280"/>
        <v>61.435643564356432</v>
      </c>
      <c r="L1771" s="7"/>
      <c r="M1771" s="7"/>
      <c r="N1771" s="361"/>
      <c r="O1771" s="95">
        <f t="shared" si="278"/>
        <v>4040</v>
      </c>
      <c r="P1771" s="95">
        <f t="shared" si="279"/>
        <v>2482</v>
      </c>
      <c r="Q1771" s="361">
        <f t="shared" ref="Q1771:Q1775" si="281">P1771/O1771*100</f>
        <v>61.435643564356432</v>
      </c>
    </row>
    <row r="1772" spans="2:17" x14ac:dyDescent="0.2">
      <c r="B1772" s="18">
        <f t="shared" si="276"/>
        <v>65</v>
      </c>
      <c r="C1772" s="6"/>
      <c r="D1772" s="6"/>
      <c r="E1772" s="6"/>
      <c r="F1772" s="93"/>
      <c r="G1772" s="5">
        <v>633</v>
      </c>
      <c r="H1772" s="6" t="s">
        <v>125</v>
      </c>
      <c r="I1772" s="7">
        <f>950+2000+700</f>
        <v>3650</v>
      </c>
      <c r="J1772" s="7">
        <v>3024</v>
      </c>
      <c r="K1772" s="361">
        <f t="shared" si="280"/>
        <v>82.849315068493141</v>
      </c>
      <c r="L1772" s="7"/>
      <c r="M1772" s="7"/>
      <c r="N1772" s="361"/>
      <c r="O1772" s="95">
        <f t="shared" si="278"/>
        <v>3650</v>
      </c>
      <c r="P1772" s="95">
        <f t="shared" si="279"/>
        <v>3024</v>
      </c>
      <c r="Q1772" s="361">
        <f t="shared" si="281"/>
        <v>82.849315068493141</v>
      </c>
    </row>
    <row r="1773" spans="2:17" x14ac:dyDescent="0.2">
      <c r="B1773" s="18">
        <f t="shared" si="276"/>
        <v>66</v>
      </c>
      <c r="C1773" s="6"/>
      <c r="D1773" s="6"/>
      <c r="E1773" s="6"/>
      <c r="F1773" s="93"/>
      <c r="G1773" s="5">
        <v>635</v>
      </c>
      <c r="H1773" s="6" t="s">
        <v>133</v>
      </c>
      <c r="I1773" s="7">
        <v>330</v>
      </c>
      <c r="J1773" s="7">
        <v>85</v>
      </c>
      <c r="K1773" s="361">
        <f t="shared" si="280"/>
        <v>25.757575757575758</v>
      </c>
      <c r="L1773" s="7"/>
      <c r="M1773" s="7"/>
      <c r="N1773" s="361"/>
      <c r="O1773" s="95">
        <f t="shared" si="278"/>
        <v>330</v>
      </c>
      <c r="P1773" s="95">
        <f t="shared" si="279"/>
        <v>85</v>
      </c>
      <c r="Q1773" s="361">
        <f t="shared" si="281"/>
        <v>25.757575757575758</v>
      </c>
    </row>
    <row r="1774" spans="2:17" x14ac:dyDescent="0.2">
      <c r="B1774" s="18">
        <f t="shared" si="276"/>
        <v>67</v>
      </c>
      <c r="C1774" s="6"/>
      <c r="D1774" s="6"/>
      <c r="E1774" s="6"/>
      <c r="F1774" s="93"/>
      <c r="G1774" s="5">
        <v>637</v>
      </c>
      <c r="H1774" s="6" t="s">
        <v>122</v>
      </c>
      <c r="I1774" s="7">
        <f>1800+100+1000</f>
        <v>2900</v>
      </c>
      <c r="J1774" s="7">
        <f>2585+275-1</f>
        <v>2859</v>
      </c>
      <c r="K1774" s="361">
        <f t="shared" si="280"/>
        <v>98.586206896551715</v>
      </c>
      <c r="L1774" s="7"/>
      <c r="M1774" s="7"/>
      <c r="N1774" s="361"/>
      <c r="O1774" s="95">
        <f t="shared" si="278"/>
        <v>2900</v>
      </c>
      <c r="P1774" s="95">
        <f t="shared" si="279"/>
        <v>2859</v>
      </c>
      <c r="Q1774" s="361">
        <f t="shared" si="281"/>
        <v>98.586206896551715</v>
      </c>
    </row>
    <row r="1775" spans="2:17" x14ac:dyDescent="0.2">
      <c r="B1775" s="18">
        <f t="shared" ref="B1775:B1806" si="282">B1774+1</f>
        <v>68</v>
      </c>
      <c r="C1775" s="3"/>
      <c r="D1775" s="3"/>
      <c r="E1775" s="3"/>
      <c r="F1775" s="90" t="s">
        <v>52</v>
      </c>
      <c r="G1775" s="2">
        <v>640</v>
      </c>
      <c r="H1775" s="3" t="s">
        <v>129</v>
      </c>
      <c r="I1775" s="4">
        <f>2000+500</f>
        <v>2500</v>
      </c>
      <c r="J1775" s="4">
        <v>2230</v>
      </c>
      <c r="K1775" s="361">
        <f t="shared" si="280"/>
        <v>89.2</v>
      </c>
      <c r="L1775" s="4"/>
      <c r="M1775" s="4"/>
      <c r="N1775" s="361"/>
      <c r="O1775" s="92">
        <f t="shared" si="278"/>
        <v>2500</v>
      </c>
      <c r="P1775" s="92">
        <f t="shared" si="279"/>
        <v>2230</v>
      </c>
      <c r="Q1775" s="361">
        <f t="shared" si="281"/>
        <v>89.2</v>
      </c>
    </row>
    <row r="1776" spans="2:17" ht="15" x14ac:dyDescent="0.25">
      <c r="B1776" s="18">
        <f t="shared" si="282"/>
        <v>69</v>
      </c>
      <c r="C1776" s="96"/>
      <c r="D1776" s="96">
        <v>3</v>
      </c>
      <c r="E1776" s="497" t="s">
        <v>414</v>
      </c>
      <c r="F1776" s="498"/>
      <c r="G1776" s="498"/>
      <c r="H1776" s="498"/>
      <c r="I1776" s="97">
        <v>0</v>
      </c>
      <c r="J1776" s="97"/>
      <c r="K1776" s="361"/>
      <c r="L1776" s="97"/>
      <c r="M1776" s="97"/>
      <c r="N1776" s="361"/>
      <c r="O1776" s="98">
        <f t="shared" si="278"/>
        <v>0</v>
      </c>
      <c r="P1776" s="98">
        <f t="shared" si="279"/>
        <v>0</v>
      </c>
      <c r="Q1776" s="361"/>
    </row>
    <row r="1777" spans="2:17" ht="15" x14ac:dyDescent="0.2">
      <c r="B1777" s="18">
        <f t="shared" si="282"/>
        <v>70</v>
      </c>
      <c r="C1777" s="82">
        <v>5</v>
      </c>
      <c r="D1777" s="495" t="s">
        <v>177</v>
      </c>
      <c r="E1777" s="496"/>
      <c r="F1777" s="496"/>
      <c r="G1777" s="496"/>
      <c r="H1777" s="496"/>
      <c r="I1777" s="83">
        <f>I1808+I1786+I1778</f>
        <v>1296795</v>
      </c>
      <c r="J1777" s="83">
        <f>J1808+J1786+J1778</f>
        <v>1148921</v>
      </c>
      <c r="K1777" s="361">
        <f t="shared" ref="K1777:K1798" si="283">J1777/I1777*100</f>
        <v>88.596964053686207</v>
      </c>
      <c r="L1777" s="83">
        <f>L1778+L1786+L1808</f>
        <v>162700</v>
      </c>
      <c r="M1777" s="83">
        <f>M1778+M1786+M1808</f>
        <v>44148</v>
      </c>
      <c r="N1777" s="361">
        <f>M1777/L1777*100</f>
        <v>27.134603564843268</v>
      </c>
      <c r="O1777" s="99">
        <f t="shared" ref="O1777:O1808" si="284">I1777+L1777</f>
        <v>1459495</v>
      </c>
      <c r="P1777" s="99">
        <f t="shared" ref="P1777:P1808" si="285">J1777+M1777</f>
        <v>1193069</v>
      </c>
      <c r="Q1777" s="361">
        <f t="shared" ref="Q1777:Q1808" si="286">P1777/O1777*100</f>
        <v>81.745329720211444</v>
      </c>
    </row>
    <row r="1778" spans="2:17" ht="15" x14ac:dyDescent="0.25">
      <c r="B1778" s="18">
        <f t="shared" si="282"/>
        <v>71</v>
      </c>
      <c r="C1778" s="96"/>
      <c r="D1778" s="96">
        <v>1</v>
      </c>
      <c r="E1778" s="497" t="s">
        <v>446</v>
      </c>
      <c r="F1778" s="498"/>
      <c r="G1778" s="498"/>
      <c r="H1778" s="498"/>
      <c r="I1778" s="97">
        <f>I1779+I1783</f>
        <v>11900</v>
      </c>
      <c r="J1778" s="97">
        <f>J1779+J1783</f>
        <v>10613</v>
      </c>
      <c r="K1778" s="361">
        <f t="shared" si="283"/>
        <v>89.184873949579838</v>
      </c>
      <c r="L1778" s="97"/>
      <c r="M1778" s="97"/>
      <c r="N1778" s="361"/>
      <c r="O1778" s="98">
        <f t="shared" si="284"/>
        <v>11900</v>
      </c>
      <c r="P1778" s="98">
        <f t="shared" si="285"/>
        <v>10613</v>
      </c>
      <c r="Q1778" s="361">
        <f t="shared" si="286"/>
        <v>89.184873949579838</v>
      </c>
    </row>
    <row r="1779" spans="2:17" x14ac:dyDescent="0.2">
      <c r="B1779" s="18">
        <f t="shared" si="282"/>
        <v>72</v>
      </c>
      <c r="C1779" s="3"/>
      <c r="D1779" s="3"/>
      <c r="E1779" s="3"/>
      <c r="F1779" s="90" t="s">
        <v>77</v>
      </c>
      <c r="G1779" s="2">
        <v>630</v>
      </c>
      <c r="H1779" s="3" t="s">
        <v>121</v>
      </c>
      <c r="I1779" s="4">
        <f>SUM(I1780:I1782)</f>
        <v>7900</v>
      </c>
      <c r="J1779" s="4">
        <f>SUM(J1780:J1782)</f>
        <v>6613</v>
      </c>
      <c r="K1779" s="361">
        <f t="shared" si="283"/>
        <v>83.708860759493675</v>
      </c>
      <c r="L1779" s="4"/>
      <c r="M1779" s="4"/>
      <c r="N1779" s="361"/>
      <c r="O1779" s="92">
        <f t="shared" si="284"/>
        <v>7900</v>
      </c>
      <c r="P1779" s="92">
        <f t="shared" si="285"/>
        <v>6613</v>
      </c>
      <c r="Q1779" s="361">
        <f t="shared" si="286"/>
        <v>83.708860759493675</v>
      </c>
    </row>
    <row r="1780" spans="2:17" x14ac:dyDescent="0.2">
      <c r="B1780" s="18">
        <f t="shared" si="282"/>
        <v>73</v>
      </c>
      <c r="C1780" s="6"/>
      <c r="D1780" s="6"/>
      <c r="E1780" s="6"/>
      <c r="F1780" s="93" t="s">
        <v>77</v>
      </c>
      <c r="G1780" s="5">
        <v>633</v>
      </c>
      <c r="H1780" s="6" t="s">
        <v>125</v>
      </c>
      <c r="I1780" s="7">
        <v>3800</v>
      </c>
      <c r="J1780" s="7">
        <v>3076</v>
      </c>
      <c r="K1780" s="361">
        <f t="shared" si="283"/>
        <v>80.94736842105263</v>
      </c>
      <c r="L1780" s="7"/>
      <c r="M1780" s="7"/>
      <c r="N1780" s="361"/>
      <c r="O1780" s="95">
        <f t="shared" si="284"/>
        <v>3800</v>
      </c>
      <c r="P1780" s="95">
        <f t="shared" si="285"/>
        <v>3076</v>
      </c>
      <c r="Q1780" s="361">
        <f t="shared" si="286"/>
        <v>80.94736842105263</v>
      </c>
    </row>
    <row r="1781" spans="2:17" x14ac:dyDescent="0.2">
      <c r="B1781" s="18">
        <f t="shared" si="282"/>
        <v>74</v>
      </c>
      <c r="C1781" s="6"/>
      <c r="D1781" s="6"/>
      <c r="E1781" s="6"/>
      <c r="F1781" s="93" t="s">
        <v>77</v>
      </c>
      <c r="G1781" s="5">
        <v>634</v>
      </c>
      <c r="H1781" s="6" t="s">
        <v>132</v>
      </c>
      <c r="I1781" s="7">
        <f>1800-358</f>
        <v>1442</v>
      </c>
      <c r="J1781" s="7">
        <v>880</v>
      </c>
      <c r="K1781" s="361">
        <f t="shared" si="283"/>
        <v>61.026352288488205</v>
      </c>
      <c r="L1781" s="7"/>
      <c r="M1781" s="7"/>
      <c r="N1781" s="361"/>
      <c r="O1781" s="95">
        <f t="shared" si="284"/>
        <v>1442</v>
      </c>
      <c r="P1781" s="95">
        <f t="shared" si="285"/>
        <v>880</v>
      </c>
      <c r="Q1781" s="361">
        <f t="shared" si="286"/>
        <v>61.026352288488205</v>
      </c>
    </row>
    <row r="1782" spans="2:17" x14ac:dyDescent="0.2">
      <c r="B1782" s="18">
        <f t="shared" si="282"/>
        <v>75</v>
      </c>
      <c r="C1782" s="6"/>
      <c r="D1782" s="6"/>
      <c r="E1782" s="6"/>
      <c r="F1782" s="93" t="s">
        <v>77</v>
      </c>
      <c r="G1782" s="5">
        <v>637</v>
      </c>
      <c r="H1782" s="6" t="s">
        <v>122</v>
      </c>
      <c r="I1782" s="7">
        <f>2300+358</f>
        <v>2658</v>
      </c>
      <c r="J1782" s="7">
        <v>2657</v>
      </c>
      <c r="K1782" s="361">
        <f t="shared" si="283"/>
        <v>99.962377727614751</v>
      </c>
      <c r="L1782" s="7"/>
      <c r="M1782" s="7"/>
      <c r="N1782" s="361"/>
      <c r="O1782" s="95">
        <f t="shared" si="284"/>
        <v>2658</v>
      </c>
      <c r="P1782" s="95">
        <f t="shared" si="285"/>
        <v>2657</v>
      </c>
      <c r="Q1782" s="361">
        <f t="shared" si="286"/>
        <v>99.962377727614751</v>
      </c>
    </row>
    <row r="1783" spans="2:17" x14ac:dyDescent="0.2">
      <c r="B1783" s="18">
        <f t="shared" si="282"/>
        <v>76</v>
      </c>
      <c r="C1783" s="3"/>
      <c r="D1783" s="3"/>
      <c r="E1783" s="3"/>
      <c r="F1783" s="90" t="s">
        <v>74</v>
      </c>
      <c r="G1783" s="2">
        <v>640</v>
      </c>
      <c r="H1783" s="3" t="s">
        <v>129</v>
      </c>
      <c r="I1783" s="4">
        <f>I1784+I1785</f>
        <v>4000</v>
      </c>
      <c r="J1783" s="4">
        <f>J1784+J1785</f>
        <v>4000</v>
      </c>
      <c r="K1783" s="361">
        <f t="shared" si="283"/>
        <v>100</v>
      </c>
      <c r="L1783" s="4"/>
      <c r="M1783" s="4"/>
      <c r="N1783" s="361"/>
      <c r="O1783" s="92">
        <f t="shared" si="284"/>
        <v>4000</v>
      </c>
      <c r="P1783" s="92">
        <f t="shared" si="285"/>
        <v>4000</v>
      </c>
      <c r="Q1783" s="361">
        <f t="shared" si="286"/>
        <v>100</v>
      </c>
    </row>
    <row r="1784" spans="2:17" x14ac:dyDescent="0.2">
      <c r="B1784" s="18">
        <f t="shared" si="282"/>
        <v>77</v>
      </c>
      <c r="C1784" s="67"/>
      <c r="D1784" s="67"/>
      <c r="E1784" s="67"/>
      <c r="F1784" s="8"/>
      <c r="G1784" s="8"/>
      <c r="H1784" s="9" t="s">
        <v>234</v>
      </c>
      <c r="I1784" s="7">
        <v>2000</v>
      </c>
      <c r="J1784" s="7">
        <v>2000</v>
      </c>
      <c r="K1784" s="361">
        <f t="shared" si="283"/>
        <v>100</v>
      </c>
      <c r="L1784" s="10"/>
      <c r="M1784" s="10"/>
      <c r="N1784" s="361"/>
      <c r="O1784" s="108">
        <f t="shared" si="284"/>
        <v>2000</v>
      </c>
      <c r="P1784" s="108">
        <f t="shared" si="285"/>
        <v>2000</v>
      </c>
      <c r="Q1784" s="361">
        <f t="shared" si="286"/>
        <v>100</v>
      </c>
    </row>
    <row r="1785" spans="2:17" x14ac:dyDescent="0.2">
      <c r="B1785" s="18">
        <f t="shared" si="282"/>
        <v>78</v>
      </c>
      <c r="C1785" s="67"/>
      <c r="D1785" s="67"/>
      <c r="E1785" s="67"/>
      <c r="F1785" s="8"/>
      <c r="G1785" s="8"/>
      <c r="H1785" s="9" t="s">
        <v>2</v>
      </c>
      <c r="I1785" s="7">
        <v>2000</v>
      </c>
      <c r="J1785" s="7">
        <v>2000</v>
      </c>
      <c r="K1785" s="361">
        <f t="shared" si="283"/>
        <v>100</v>
      </c>
      <c r="L1785" s="10"/>
      <c r="M1785" s="10"/>
      <c r="N1785" s="361"/>
      <c r="O1785" s="108">
        <f t="shared" si="284"/>
        <v>2000</v>
      </c>
      <c r="P1785" s="108">
        <f t="shared" si="285"/>
        <v>2000</v>
      </c>
      <c r="Q1785" s="361">
        <f t="shared" si="286"/>
        <v>100</v>
      </c>
    </row>
    <row r="1786" spans="2:17" ht="15" x14ac:dyDescent="0.25">
      <c r="B1786" s="18">
        <f t="shared" si="282"/>
        <v>79</v>
      </c>
      <c r="C1786" s="96"/>
      <c r="D1786" s="96">
        <v>2</v>
      </c>
      <c r="E1786" s="497" t="s">
        <v>58</v>
      </c>
      <c r="F1786" s="498"/>
      <c r="G1786" s="498"/>
      <c r="H1786" s="498"/>
      <c r="I1786" s="97">
        <f>I1787</f>
        <v>1203895</v>
      </c>
      <c r="J1786" s="97">
        <f>J1787</f>
        <v>1105765</v>
      </c>
      <c r="K1786" s="361">
        <f t="shared" si="283"/>
        <v>91.848956927306773</v>
      </c>
      <c r="L1786" s="97">
        <f>L1787</f>
        <v>162700</v>
      </c>
      <c r="M1786" s="97">
        <f>M1787</f>
        <v>44148</v>
      </c>
      <c r="N1786" s="361">
        <f>M1786/L1786*100</f>
        <v>27.134603564843268</v>
      </c>
      <c r="O1786" s="98">
        <f t="shared" si="284"/>
        <v>1366595</v>
      </c>
      <c r="P1786" s="98">
        <f t="shared" si="285"/>
        <v>1149913</v>
      </c>
      <c r="Q1786" s="361">
        <f t="shared" si="286"/>
        <v>84.144388059373838</v>
      </c>
    </row>
    <row r="1787" spans="2:17" s="122" customFormat="1" ht="15" x14ac:dyDescent="0.25">
      <c r="B1787" s="18">
        <f t="shared" si="282"/>
        <v>80</v>
      </c>
      <c r="C1787" s="176"/>
      <c r="D1787" s="176"/>
      <c r="E1787" s="176">
        <v>5</v>
      </c>
      <c r="F1787" s="177"/>
      <c r="G1787" s="177"/>
      <c r="H1787" s="176" t="s">
        <v>106</v>
      </c>
      <c r="I1787" s="178">
        <f>I1788+I1789+I1790+I1798</f>
        <v>1203895</v>
      </c>
      <c r="J1787" s="178">
        <f>J1788+J1789+J1790+J1798</f>
        <v>1105765</v>
      </c>
      <c r="K1787" s="361">
        <f t="shared" si="283"/>
        <v>91.848956927306773</v>
      </c>
      <c r="L1787" s="178">
        <f>L1799</f>
        <v>162700</v>
      </c>
      <c r="M1787" s="178">
        <f>M1799</f>
        <v>44148</v>
      </c>
      <c r="N1787" s="361">
        <f>M1787/L1787*100</f>
        <v>27.134603564843268</v>
      </c>
      <c r="O1787" s="179">
        <f t="shared" si="284"/>
        <v>1366595</v>
      </c>
      <c r="P1787" s="179">
        <f t="shared" si="285"/>
        <v>1149913</v>
      </c>
      <c r="Q1787" s="361">
        <f t="shared" si="286"/>
        <v>84.144388059373838</v>
      </c>
    </row>
    <row r="1788" spans="2:17" x14ac:dyDescent="0.2">
      <c r="B1788" s="18">
        <f t="shared" si="282"/>
        <v>81</v>
      </c>
      <c r="C1788" s="3"/>
      <c r="D1788" s="3"/>
      <c r="E1788" s="3"/>
      <c r="F1788" s="90" t="s">
        <v>77</v>
      </c>
      <c r="G1788" s="2">
        <v>610</v>
      </c>
      <c r="H1788" s="3" t="s">
        <v>131</v>
      </c>
      <c r="I1788" s="4">
        <v>584100</v>
      </c>
      <c r="J1788" s="4">
        <v>519338</v>
      </c>
      <c r="K1788" s="361">
        <f t="shared" si="283"/>
        <v>88.912514980311585</v>
      </c>
      <c r="L1788" s="4"/>
      <c r="M1788" s="4"/>
      <c r="N1788" s="361"/>
      <c r="O1788" s="92">
        <f t="shared" si="284"/>
        <v>584100</v>
      </c>
      <c r="P1788" s="92">
        <f t="shared" si="285"/>
        <v>519338</v>
      </c>
      <c r="Q1788" s="361">
        <f t="shared" si="286"/>
        <v>88.912514980311585</v>
      </c>
    </row>
    <row r="1789" spans="2:17" x14ac:dyDescent="0.2">
      <c r="B1789" s="18">
        <f t="shared" si="282"/>
        <v>82</v>
      </c>
      <c r="C1789" s="3"/>
      <c r="D1789" s="3"/>
      <c r="E1789" s="3"/>
      <c r="F1789" s="90" t="s">
        <v>77</v>
      </c>
      <c r="G1789" s="2">
        <v>620</v>
      </c>
      <c r="H1789" s="3" t="s">
        <v>124</v>
      </c>
      <c r="I1789" s="4">
        <v>197195</v>
      </c>
      <c r="J1789" s="4">
        <v>197189</v>
      </c>
      <c r="K1789" s="361">
        <f t="shared" si="283"/>
        <v>99.996957326504216</v>
      </c>
      <c r="L1789" s="4"/>
      <c r="M1789" s="4"/>
      <c r="N1789" s="361"/>
      <c r="O1789" s="92">
        <f t="shared" si="284"/>
        <v>197195</v>
      </c>
      <c r="P1789" s="92">
        <f t="shared" si="285"/>
        <v>197189</v>
      </c>
      <c r="Q1789" s="361">
        <f t="shared" si="286"/>
        <v>99.996957326504216</v>
      </c>
    </row>
    <row r="1790" spans="2:17" x14ac:dyDescent="0.2">
      <c r="B1790" s="18">
        <f t="shared" si="282"/>
        <v>83</v>
      </c>
      <c r="C1790" s="3"/>
      <c r="D1790" s="3"/>
      <c r="E1790" s="3"/>
      <c r="F1790" s="90" t="s">
        <v>77</v>
      </c>
      <c r="G1790" s="2">
        <v>630</v>
      </c>
      <c r="H1790" s="3" t="s">
        <v>121</v>
      </c>
      <c r="I1790" s="4">
        <f>I1797+I1796+I1795+I1794+I1793+I1792+I1791</f>
        <v>396050</v>
      </c>
      <c r="J1790" s="4">
        <f>J1797+J1796+J1795+J1794+J1793+J1792+J1791</f>
        <v>369865</v>
      </c>
      <c r="K1790" s="361">
        <f t="shared" si="283"/>
        <v>93.38846105289737</v>
      </c>
      <c r="L1790" s="4"/>
      <c r="M1790" s="4"/>
      <c r="N1790" s="361"/>
      <c r="O1790" s="92">
        <f t="shared" si="284"/>
        <v>396050</v>
      </c>
      <c r="P1790" s="92">
        <f t="shared" si="285"/>
        <v>369865</v>
      </c>
      <c r="Q1790" s="361">
        <f t="shared" si="286"/>
        <v>93.38846105289737</v>
      </c>
    </row>
    <row r="1791" spans="2:17" x14ac:dyDescent="0.2">
      <c r="B1791" s="18">
        <f t="shared" si="282"/>
        <v>84</v>
      </c>
      <c r="C1791" s="6"/>
      <c r="D1791" s="6"/>
      <c r="E1791" s="6"/>
      <c r="F1791" s="93"/>
      <c r="G1791" s="5">
        <v>631</v>
      </c>
      <c r="H1791" s="6" t="s">
        <v>127</v>
      </c>
      <c r="I1791" s="7">
        <v>100</v>
      </c>
      <c r="J1791" s="7">
        <v>21</v>
      </c>
      <c r="K1791" s="361">
        <f t="shared" si="283"/>
        <v>21</v>
      </c>
      <c r="L1791" s="7"/>
      <c r="M1791" s="7"/>
      <c r="N1791" s="361"/>
      <c r="O1791" s="95">
        <f t="shared" si="284"/>
        <v>100</v>
      </c>
      <c r="P1791" s="95">
        <f t="shared" si="285"/>
        <v>21</v>
      </c>
      <c r="Q1791" s="361">
        <f t="shared" si="286"/>
        <v>21</v>
      </c>
    </row>
    <row r="1792" spans="2:17" x14ac:dyDescent="0.2">
      <c r="B1792" s="18">
        <f t="shared" si="282"/>
        <v>85</v>
      </c>
      <c r="C1792" s="6"/>
      <c r="D1792" s="6"/>
      <c r="E1792" s="6"/>
      <c r="F1792" s="93"/>
      <c r="G1792" s="5">
        <v>632</v>
      </c>
      <c r="H1792" s="6" t="s">
        <v>134</v>
      </c>
      <c r="I1792" s="7">
        <f>133500+15000-11000</f>
        <v>137500</v>
      </c>
      <c r="J1792" s="7">
        <v>115382</v>
      </c>
      <c r="K1792" s="361">
        <f t="shared" si="283"/>
        <v>83.914181818181817</v>
      </c>
      <c r="L1792" s="7"/>
      <c r="M1792" s="7"/>
      <c r="N1792" s="361"/>
      <c r="O1792" s="95">
        <f t="shared" si="284"/>
        <v>137500</v>
      </c>
      <c r="P1792" s="95">
        <f t="shared" si="285"/>
        <v>115382</v>
      </c>
      <c r="Q1792" s="361">
        <f t="shared" si="286"/>
        <v>83.914181818181817</v>
      </c>
    </row>
    <row r="1793" spans="2:17" x14ac:dyDescent="0.2">
      <c r="B1793" s="18">
        <f t="shared" si="282"/>
        <v>86</v>
      </c>
      <c r="C1793" s="6"/>
      <c r="D1793" s="6"/>
      <c r="E1793" s="6"/>
      <c r="F1793" s="93"/>
      <c r="G1793" s="5">
        <v>633</v>
      </c>
      <c r="H1793" s="6" t="s">
        <v>125</v>
      </c>
      <c r="I1793" s="7">
        <f>30000-13000+5000+1000</f>
        <v>23000</v>
      </c>
      <c r="J1793" s="7">
        <v>22831</v>
      </c>
      <c r="K1793" s="361">
        <f t="shared" si="283"/>
        <v>99.265217391304347</v>
      </c>
      <c r="L1793" s="7"/>
      <c r="M1793" s="7"/>
      <c r="N1793" s="361"/>
      <c r="O1793" s="95">
        <f t="shared" si="284"/>
        <v>23000</v>
      </c>
      <c r="P1793" s="95">
        <f t="shared" si="285"/>
        <v>22831</v>
      </c>
      <c r="Q1793" s="361">
        <f t="shared" si="286"/>
        <v>99.265217391304347</v>
      </c>
    </row>
    <row r="1794" spans="2:17" x14ac:dyDescent="0.2">
      <c r="B1794" s="18">
        <f t="shared" si="282"/>
        <v>87</v>
      </c>
      <c r="C1794" s="6"/>
      <c r="D1794" s="6"/>
      <c r="E1794" s="6"/>
      <c r="F1794" s="93"/>
      <c r="G1794" s="5">
        <v>634</v>
      </c>
      <c r="H1794" s="6" t="s">
        <v>132</v>
      </c>
      <c r="I1794" s="7">
        <f>1800+150</f>
        <v>1950</v>
      </c>
      <c r="J1794" s="7">
        <v>1918</v>
      </c>
      <c r="K1794" s="361">
        <f t="shared" si="283"/>
        <v>98.358974358974365</v>
      </c>
      <c r="L1794" s="7"/>
      <c r="M1794" s="7"/>
      <c r="N1794" s="361"/>
      <c r="O1794" s="95">
        <f t="shared" si="284"/>
        <v>1950</v>
      </c>
      <c r="P1794" s="95">
        <f t="shared" si="285"/>
        <v>1918</v>
      </c>
      <c r="Q1794" s="361">
        <f t="shared" si="286"/>
        <v>98.358974358974365</v>
      </c>
    </row>
    <row r="1795" spans="2:17" x14ac:dyDescent="0.2">
      <c r="B1795" s="18">
        <f t="shared" si="282"/>
        <v>88</v>
      </c>
      <c r="C1795" s="6"/>
      <c r="D1795" s="6"/>
      <c r="E1795" s="6"/>
      <c r="F1795" s="93"/>
      <c r="G1795" s="5">
        <v>635</v>
      </c>
      <c r="H1795" s="6" t="s">
        <v>133</v>
      </c>
      <c r="I1795" s="7">
        <f>11500+13000+6000</f>
        <v>30500</v>
      </c>
      <c r="J1795" s="7">
        <v>28128</v>
      </c>
      <c r="K1795" s="361">
        <f t="shared" si="283"/>
        <v>92.222950819672135</v>
      </c>
      <c r="L1795" s="7"/>
      <c r="M1795" s="7"/>
      <c r="N1795" s="361"/>
      <c r="O1795" s="95">
        <f t="shared" si="284"/>
        <v>30500</v>
      </c>
      <c r="P1795" s="95">
        <f t="shared" si="285"/>
        <v>28128</v>
      </c>
      <c r="Q1795" s="361">
        <f t="shared" si="286"/>
        <v>92.222950819672135</v>
      </c>
    </row>
    <row r="1796" spans="2:17" x14ac:dyDescent="0.2">
      <c r="B1796" s="18">
        <f t="shared" si="282"/>
        <v>89</v>
      </c>
      <c r="C1796" s="6"/>
      <c r="D1796" s="6"/>
      <c r="E1796" s="6"/>
      <c r="F1796" s="93"/>
      <c r="G1796" s="5">
        <v>636</v>
      </c>
      <c r="H1796" s="6" t="s">
        <v>126</v>
      </c>
      <c r="I1796" s="7">
        <v>1000</v>
      </c>
      <c r="J1796" s="7">
        <v>346</v>
      </c>
      <c r="K1796" s="361">
        <f t="shared" si="283"/>
        <v>34.599999999999994</v>
      </c>
      <c r="L1796" s="7"/>
      <c r="M1796" s="7"/>
      <c r="N1796" s="361"/>
      <c r="O1796" s="95">
        <f t="shared" si="284"/>
        <v>1000</v>
      </c>
      <c r="P1796" s="95">
        <f t="shared" si="285"/>
        <v>346</v>
      </c>
      <c r="Q1796" s="361">
        <f t="shared" si="286"/>
        <v>34.599999999999994</v>
      </c>
    </row>
    <row r="1797" spans="2:17" x14ac:dyDescent="0.2">
      <c r="B1797" s="18">
        <f t="shared" si="282"/>
        <v>90</v>
      </c>
      <c r="C1797" s="6"/>
      <c r="D1797" s="6"/>
      <c r="E1797" s="6"/>
      <c r="F1797" s="93"/>
      <c r="G1797" s="5">
        <v>637</v>
      </c>
      <c r="H1797" s="6" t="s">
        <v>122</v>
      </c>
      <c r="I1797" s="7">
        <f>160000+40000+2000</f>
        <v>202000</v>
      </c>
      <c r="J1797" s="7">
        <f>198450+2789</f>
        <v>201239</v>
      </c>
      <c r="K1797" s="361">
        <f t="shared" si="283"/>
        <v>99.623267326732673</v>
      </c>
      <c r="L1797" s="7"/>
      <c r="M1797" s="7"/>
      <c r="N1797" s="361"/>
      <c r="O1797" s="95">
        <f t="shared" si="284"/>
        <v>202000</v>
      </c>
      <c r="P1797" s="95">
        <f t="shared" si="285"/>
        <v>201239</v>
      </c>
      <c r="Q1797" s="361">
        <f t="shared" si="286"/>
        <v>99.623267326732673</v>
      </c>
    </row>
    <row r="1798" spans="2:17" x14ac:dyDescent="0.2">
      <c r="B1798" s="18">
        <f t="shared" si="282"/>
        <v>91</v>
      </c>
      <c r="C1798" s="3"/>
      <c r="D1798" s="3"/>
      <c r="E1798" s="3"/>
      <c r="F1798" s="90" t="s">
        <v>77</v>
      </c>
      <c r="G1798" s="2">
        <v>640</v>
      </c>
      <c r="H1798" s="3" t="s">
        <v>129</v>
      </c>
      <c r="I1798" s="4">
        <f>5880+22320+4500-6150</f>
        <v>26550</v>
      </c>
      <c r="J1798" s="4">
        <v>19373</v>
      </c>
      <c r="K1798" s="361">
        <f t="shared" si="283"/>
        <v>72.96798493408663</v>
      </c>
      <c r="L1798" s="4"/>
      <c r="M1798" s="4"/>
      <c r="N1798" s="361"/>
      <c r="O1798" s="92">
        <f t="shared" si="284"/>
        <v>26550</v>
      </c>
      <c r="P1798" s="92">
        <f t="shared" si="285"/>
        <v>19373</v>
      </c>
      <c r="Q1798" s="361">
        <f t="shared" si="286"/>
        <v>72.96798493408663</v>
      </c>
    </row>
    <row r="1799" spans="2:17" x14ac:dyDescent="0.2">
      <c r="B1799" s="18">
        <f t="shared" si="282"/>
        <v>92</v>
      </c>
      <c r="C1799" s="3"/>
      <c r="D1799" s="3"/>
      <c r="E1799" s="3"/>
      <c r="F1799" s="90" t="s">
        <v>77</v>
      </c>
      <c r="G1799" s="2">
        <v>710</v>
      </c>
      <c r="H1799" s="3" t="s">
        <v>175</v>
      </c>
      <c r="I1799" s="4"/>
      <c r="J1799" s="4"/>
      <c r="K1799" s="361"/>
      <c r="L1799" s="4">
        <f>L1804+L1800+L1802</f>
        <v>162700</v>
      </c>
      <c r="M1799" s="4">
        <f>M1804+M1800+M1802</f>
        <v>44148</v>
      </c>
      <c r="N1799" s="361">
        <f t="shared" ref="N1799:N1807" si="287">M1799/L1799*100</f>
        <v>27.134603564843268</v>
      </c>
      <c r="O1799" s="92">
        <f t="shared" si="284"/>
        <v>162700</v>
      </c>
      <c r="P1799" s="92">
        <f t="shared" si="285"/>
        <v>44148</v>
      </c>
      <c r="Q1799" s="361">
        <f t="shared" si="286"/>
        <v>27.134603564843268</v>
      </c>
    </row>
    <row r="1800" spans="2:17" x14ac:dyDescent="0.2">
      <c r="B1800" s="18">
        <f t="shared" si="282"/>
        <v>93</v>
      </c>
      <c r="C1800" s="3"/>
      <c r="D1800" s="3"/>
      <c r="E1800" s="3"/>
      <c r="F1800" s="90"/>
      <c r="G1800" s="5">
        <v>713</v>
      </c>
      <c r="H1800" s="6" t="s">
        <v>218</v>
      </c>
      <c r="I1800" s="7"/>
      <c r="J1800" s="7"/>
      <c r="K1800" s="361"/>
      <c r="L1800" s="7">
        <f>L1801</f>
        <v>4500</v>
      </c>
      <c r="M1800" s="7">
        <f>M1801</f>
        <v>3999</v>
      </c>
      <c r="N1800" s="361">
        <f t="shared" si="287"/>
        <v>88.866666666666674</v>
      </c>
      <c r="O1800" s="95">
        <f t="shared" si="284"/>
        <v>4500</v>
      </c>
      <c r="P1800" s="95">
        <f t="shared" si="285"/>
        <v>3999</v>
      </c>
      <c r="Q1800" s="361">
        <f t="shared" si="286"/>
        <v>88.866666666666674</v>
      </c>
    </row>
    <row r="1801" spans="2:17" x14ac:dyDescent="0.2">
      <c r="B1801" s="18">
        <f t="shared" si="282"/>
        <v>94</v>
      </c>
      <c r="C1801" s="3"/>
      <c r="D1801" s="3"/>
      <c r="E1801" s="3"/>
      <c r="F1801" s="90"/>
      <c r="G1801" s="106"/>
      <c r="H1801" s="9" t="s">
        <v>645</v>
      </c>
      <c r="I1801" s="10"/>
      <c r="J1801" s="10"/>
      <c r="K1801" s="361"/>
      <c r="L1801" s="10">
        <v>4500</v>
      </c>
      <c r="M1801" s="10">
        <v>3999</v>
      </c>
      <c r="N1801" s="361">
        <f t="shared" si="287"/>
        <v>88.866666666666674</v>
      </c>
      <c r="O1801" s="108">
        <f t="shared" si="284"/>
        <v>4500</v>
      </c>
      <c r="P1801" s="108">
        <f t="shared" si="285"/>
        <v>3999</v>
      </c>
      <c r="Q1801" s="361">
        <f t="shared" si="286"/>
        <v>88.866666666666674</v>
      </c>
    </row>
    <row r="1802" spans="2:17" x14ac:dyDescent="0.2">
      <c r="B1802" s="18">
        <f t="shared" si="282"/>
        <v>95</v>
      </c>
      <c r="C1802" s="3"/>
      <c r="D1802" s="3"/>
      <c r="E1802" s="3"/>
      <c r="F1802" s="90"/>
      <c r="G1802" s="5">
        <v>716</v>
      </c>
      <c r="H1802" s="6" t="s">
        <v>215</v>
      </c>
      <c r="I1802" s="7"/>
      <c r="J1802" s="7"/>
      <c r="K1802" s="361"/>
      <c r="L1802" s="7">
        <f>L1803</f>
        <v>118000</v>
      </c>
      <c r="M1802" s="7">
        <f>M1803</f>
        <v>0</v>
      </c>
      <c r="N1802" s="361">
        <f t="shared" si="287"/>
        <v>0</v>
      </c>
      <c r="O1802" s="108">
        <f t="shared" si="284"/>
        <v>118000</v>
      </c>
      <c r="P1802" s="108">
        <f t="shared" si="285"/>
        <v>0</v>
      </c>
      <c r="Q1802" s="361">
        <f t="shared" si="286"/>
        <v>0</v>
      </c>
    </row>
    <row r="1803" spans="2:17" ht="24" x14ac:dyDescent="0.2">
      <c r="B1803" s="18">
        <f t="shared" si="282"/>
        <v>96</v>
      </c>
      <c r="C1803" s="385"/>
      <c r="D1803" s="385"/>
      <c r="E1803" s="385"/>
      <c r="F1803" s="386"/>
      <c r="G1803" s="101"/>
      <c r="H1803" s="102" t="s">
        <v>714</v>
      </c>
      <c r="I1803" s="103"/>
      <c r="J1803" s="103"/>
      <c r="K1803" s="380"/>
      <c r="L1803" s="103">
        <v>118000</v>
      </c>
      <c r="M1803" s="103">
        <v>0</v>
      </c>
      <c r="N1803" s="380">
        <f t="shared" si="287"/>
        <v>0</v>
      </c>
      <c r="O1803" s="105">
        <f t="shared" si="284"/>
        <v>118000</v>
      </c>
      <c r="P1803" s="105">
        <f t="shared" si="285"/>
        <v>0</v>
      </c>
      <c r="Q1803" s="380">
        <f t="shared" si="286"/>
        <v>0</v>
      </c>
    </row>
    <row r="1804" spans="2:17" x14ac:dyDescent="0.2">
      <c r="B1804" s="18">
        <f t="shared" si="282"/>
        <v>97</v>
      </c>
      <c r="C1804" s="6"/>
      <c r="D1804" s="6"/>
      <c r="E1804" s="6"/>
      <c r="F1804" s="93"/>
      <c r="G1804" s="5">
        <v>717</v>
      </c>
      <c r="H1804" s="6" t="s">
        <v>182</v>
      </c>
      <c r="I1804" s="7"/>
      <c r="J1804" s="7"/>
      <c r="K1804" s="361"/>
      <c r="L1804" s="7">
        <f>SUM(L1805:L1807)</f>
        <v>40200</v>
      </c>
      <c r="M1804" s="7">
        <f>SUM(M1805:M1807)</f>
        <v>40149</v>
      </c>
      <c r="N1804" s="361">
        <f t="shared" si="287"/>
        <v>99.873134328358205</v>
      </c>
      <c r="O1804" s="95">
        <f t="shared" si="284"/>
        <v>40200</v>
      </c>
      <c r="P1804" s="95">
        <f t="shared" si="285"/>
        <v>40149</v>
      </c>
      <c r="Q1804" s="361">
        <f t="shared" si="286"/>
        <v>99.873134328358205</v>
      </c>
    </row>
    <row r="1805" spans="2:17" x14ac:dyDescent="0.2">
      <c r="B1805" s="18">
        <f t="shared" si="282"/>
        <v>98</v>
      </c>
      <c r="C1805" s="6"/>
      <c r="D1805" s="6"/>
      <c r="E1805" s="6"/>
      <c r="F1805" s="93"/>
      <c r="G1805" s="5"/>
      <c r="H1805" s="9" t="s">
        <v>675</v>
      </c>
      <c r="I1805" s="10"/>
      <c r="J1805" s="10"/>
      <c r="K1805" s="402"/>
      <c r="L1805" s="10">
        <v>12400</v>
      </c>
      <c r="M1805" s="10">
        <v>12400</v>
      </c>
      <c r="N1805" s="402">
        <f t="shared" si="287"/>
        <v>100</v>
      </c>
      <c r="O1805" s="108">
        <f t="shared" si="284"/>
        <v>12400</v>
      </c>
      <c r="P1805" s="108">
        <f t="shared" si="285"/>
        <v>12400</v>
      </c>
      <c r="Q1805" s="402">
        <f t="shared" si="286"/>
        <v>100</v>
      </c>
    </row>
    <row r="1806" spans="2:17" x14ac:dyDescent="0.2">
      <c r="B1806" s="18">
        <f t="shared" si="282"/>
        <v>99</v>
      </c>
      <c r="C1806" s="67"/>
      <c r="D1806" s="67"/>
      <c r="E1806" s="67"/>
      <c r="F1806" s="271"/>
      <c r="G1806" s="8"/>
      <c r="H1806" s="9" t="s">
        <v>449</v>
      </c>
      <c r="I1806" s="10"/>
      <c r="J1806" s="10"/>
      <c r="K1806" s="403"/>
      <c r="L1806" s="10">
        <f>25000-1400-15800</f>
        <v>7800</v>
      </c>
      <c r="M1806" s="10">
        <v>7752</v>
      </c>
      <c r="N1806" s="403">
        <f t="shared" si="287"/>
        <v>99.384615384615387</v>
      </c>
      <c r="O1806" s="108">
        <f t="shared" si="284"/>
        <v>7800</v>
      </c>
      <c r="P1806" s="108">
        <f t="shared" si="285"/>
        <v>7752</v>
      </c>
      <c r="Q1806" s="403">
        <f t="shared" si="286"/>
        <v>99.384615384615387</v>
      </c>
    </row>
    <row r="1807" spans="2:17" x14ac:dyDescent="0.2">
      <c r="B1807" s="18">
        <f t="shared" ref="B1807:B1838" si="288">B1806+1</f>
        <v>100</v>
      </c>
      <c r="C1807" s="67"/>
      <c r="D1807" s="67"/>
      <c r="E1807" s="67"/>
      <c r="F1807" s="271"/>
      <c r="G1807" s="8"/>
      <c r="H1807" s="9" t="s">
        <v>644</v>
      </c>
      <c r="I1807" s="10"/>
      <c r="J1807" s="10"/>
      <c r="K1807" s="403"/>
      <c r="L1807" s="10">
        <v>20000</v>
      </c>
      <c r="M1807" s="10">
        <v>19997</v>
      </c>
      <c r="N1807" s="403">
        <f t="shared" si="287"/>
        <v>99.984999999999999</v>
      </c>
      <c r="O1807" s="108">
        <f t="shared" si="284"/>
        <v>20000</v>
      </c>
      <c r="P1807" s="108">
        <f t="shared" si="285"/>
        <v>19997</v>
      </c>
      <c r="Q1807" s="403">
        <f t="shared" si="286"/>
        <v>99.984999999999999</v>
      </c>
    </row>
    <row r="1808" spans="2:17" ht="15" x14ac:dyDescent="0.25">
      <c r="B1808" s="18">
        <f t="shared" si="288"/>
        <v>101</v>
      </c>
      <c r="C1808" s="96"/>
      <c r="D1808" s="96">
        <v>3</v>
      </c>
      <c r="E1808" s="497" t="s">
        <v>364</v>
      </c>
      <c r="F1808" s="498"/>
      <c r="G1808" s="498"/>
      <c r="H1808" s="498"/>
      <c r="I1808" s="97">
        <f>I1809</f>
        <v>81000</v>
      </c>
      <c r="J1808" s="97">
        <f>J1809</f>
        <v>32543</v>
      </c>
      <c r="K1808" s="361">
        <f t="shared" ref="K1808:K1826" si="289">J1808/I1808*100</f>
        <v>40.176543209876542</v>
      </c>
      <c r="L1808" s="97"/>
      <c r="M1808" s="97"/>
      <c r="N1808" s="361"/>
      <c r="O1808" s="98">
        <f t="shared" si="284"/>
        <v>81000</v>
      </c>
      <c r="P1808" s="98">
        <f t="shared" si="285"/>
        <v>32543</v>
      </c>
      <c r="Q1808" s="361">
        <f t="shared" si="286"/>
        <v>40.176543209876542</v>
      </c>
    </row>
    <row r="1809" spans="2:17" x14ac:dyDescent="0.2">
      <c r="B1809" s="18">
        <f t="shared" si="288"/>
        <v>102</v>
      </c>
      <c r="C1809" s="3"/>
      <c r="D1809" s="3"/>
      <c r="E1809" s="3"/>
      <c r="F1809" s="90" t="s">
        <v>77</v>
      </c>
      <c r="G1809" s="2">
        <v>630</v>
      </c>
      <c r="H1809" s="3" t="s">
        <v>121</v>
      </c>
      <c r="I1809" s="4">
        <f>I1813+I1812+I1811+I1810</f>
        <v>81000</v>
      </c>
      <c r="J1809" s="4">
        <f>J1813+J1812+J1811+J1810</f>
        <v>32543</v>
      </c>
      <c r="K1809" s="361">
        <f t="shared" si="289"/>
        <v>40.176543209876542</v>
      </c>
      <c r="L1809" s="4"/>
      <c r="M1809" s="4"/>
      <c r="N1809" s="361"/>
      <c r="O1809" s="92">
        <f t="shared" ref="O1809:O1840" si="290">I1809+L1809</f>
        <v>81000</v>
      </c>
      <c r="P1809" s="92">
        <f t="shared" ref="P1809:P1840" si="291">J1809+M1809</f>
        <v>32543</v>
      </c>
      <c r="Q1809" s="361">
        <f t="shared" ref="Q1809:Q1840" si="292">P1809/O1809*100</f>
        <v>40.176543209876542</v>
      </c>
    </row>
    <row r="1810" spans="2:17" x14ac:dyDescent="0.2">
      <c r="B1810" s="18">
        <f t="shared" si="288"/>
        <v>103</v>
      </c>
      <c r="C1810" s="6"/>
      <c r="D1810" s="6"/>
      <c r="E1810" s="6"/>
      <c r="F1810" s="93"/>
      <c r="G1810" s="5">
        <v>632</v>
      </c>
      <c r="H1810" s="6" t="s">
        <v>134</v>
      </c>
      <c r="I1810" s="7">
        <v>70000</v>
      </c>
      <c r="J1810" s="7">
        <v>27562</v>
      </c>
      <c r="K1810" s="361">
        <f t="shared" si="289"/>
        <v>39.374285714285712</v>
      </c>
      <c r="L1810" s="7"/>
      <c r="M1810" s="7"/>
      <c r="N1810" s="361"/>
      <c r="O1810" s="95">
        <f t="shared" si="290"/>
        <v>70000</v>
      </c>
      <c r="P1810" s="95">
        <f t="shared" si="291"/>
        <v>27562</v>
      </c>
      <c r="Q1810" s="361">
        <f t="shared" si="292"/>
        <v>39.374285714285712</v>
      </c>
    </row>
    <row r="1811" spans="2:17" x14ac:dyDescent="0.2">
      <c r="B1811" s="18">
        <f t="shared" si="288"/>
        <v>104</v>
      </c>
      <c r="C1811" s="6"/>
      <c r="D1811" s="6"/>
      <c r="E1811" s="6"/>
      <c r="F1811" s="93"/>
      <c r="G1811" s="5">
        <v>633</v>
      </c>
      <c r="H1811" s="6" t="s">
        <v>125</v>
      </c>
      <c r="I1811" s="7">
        <v>2500</v>
      </c>
      <c r="J1811" s="7">
        <v>1245</v>
      </c>
      <c r="K1811" s="361">
        <f t="shared" si="289"/>
        <v>49.8</v>
      </c>
      <c r="L1811" s="7"/>
      <c r="M1811" s="7"/>
      <c r="N1811" s="361"/>
      <c r="O1811" s="95">
        <f t="shared" si="290"/>
        <v>2500</v>
      </c>
      <c r="P1811" s="95">
        <f t="shared" si="291"/>
        <v>1245</v>
      </c>
      <c r="Q1811" s="361">
        <f t="shared" si="292"/>
        <v>49.8</v>
      </c>
    </row>
    <row r="1812" spans="2:17" x14ac:dyDescent="0.2">
      <c r="B1812" s="18">
        <f t="shared" si="288"/>
        <v>105</v>
      </c>
      <c r="C1812" s="6"/>
      <c r="D1812" s="6"/>
      <c r="E1812" s="6"/>
      <c r="F1812" s="93"/>
      <c r="G1812" s="5">
        <v>635</v>
      </c>
      <c r="H1812" s="6" t="s">
        <v>133</v>
      </c>
      <c r="I1812" s="7">
        <v>5200</v>
      </c>
      <c r="J1812" s="7">
        <v>3306</v>
      </c>
      <c r="K1812" s="361">
        <f t="shared" si="289"/>
        <v>63.576923076923073</v>
      </c>
      <c r="L1812" s="7"/>
      <c r="M1812" s="7"/>
      <c r="N1812" s="361"/>
      <c r="O1812" s="95">
        <f t="shared" si="290"/>
        <v>5200</v>
      </c>
      <c r="P1812" s="95">
        <f t="shared" si="291"/>
        <v>3306</v>
      </c>
      <c r="Q1812" s="361">
        <f t="shared" si="292"/>
        <v>63.576923076923073</v>
      </c>
    </row>
    <row r="1813" spans="2:17" x14ac:dyDescent="0.2">
      <c r="B1813" s="18">
        <f t="shared" si="288"/>
        <v>106</v>
      </c>
      <c r="C1813" s="6"/>
      <c r="D1813" s="6"/>
      <c r="E1813" s="6"/>
      <c r="F1813" s="93"/>
      <c r="G1813" s="5">
        <v>637</v>
      </c>
      <c r="H1813" s="6" t="s">
        <v>122</v>
      </c>
      <c r="I1813" s="7">
        <v>3300</v>
      </c>
      <c r="J1813" s="7">
        <v>430</v>
      </c>
      <c r="K1813" s="361">
        <f t="shared" si="289"/>
        <v>13.030303030303031</v>
      </c>
      <c r="L1813" s="7"/>
      <c r="M1813" s="7"/>
      <c r="N1813" s="361"/>
      <c r="O1813" s="95">
        <f t="shared" si="290"/>
        <v>3300</v>
      </c>
      <c r="P1813" s="95">
        <f t="shared" si="291"/>
        <v>430</v>
      </c>
      <c r="Q1813" s="361">
        <f t="shared" si="292"/>
        <v>13.030303030303031</v>
      </c>
    </row>
    <row r="1814" spans="2:17" ht="15" x14ac:dyDescent="0.2">
      <c r="B1814" s="18">
        <f t="shared" si="288"/>
        <v>107</v>
      </c>
      <c r="C1814" s="82">
        <v>6</v>
      </c>
      <c r="D1814" s="495" t="s">
        <v>229</v>
      </c>
      <c r="E1814" s="496"/>
      <c r="F1814" s="496"/>
      <c r="G1814" s="496"/>
      <c r="H1814" s="496"/>
      <c r="I1814" s="83">
        <f>I1815</f>
        <v>2323000</v>
      </c>
      <c r="J1814" s="83">
        <f>J1815</f>
        <v>2155727</v>
      </c>
      <c r="K1814" s="361">
        <f t="shared" si="289"/>
        <v>92.799268187688327</v>
      </c>
      <c r="L1814" s="83">
        <f>L1815</f>
        <v>577000</v>
      </c>
      <c r="M1814" s="83">
        <f>M1815</f>
        <v>344390</v>
      </c>
      <c r="N1814" s="361">
        <f>M1814/L1814*100</f>
        <v>59.686308492201036</v>
      </c>
      <c r="O1814" s="99">
        <f t="shared" si="290"/>
        <v>2900000</v>
      </c>
      <c r="P1814" s="99">
        <f t="shared" si="291"/>
        <v>2500117</v>
      </c>
      <c r="Q1814" s="361">
        <f t="shared" si="292"/>
        <v>86.210931034482769</v>
      </c>
    </row>
    <row r="1815" spans="2:17" ht="15" x14ac:dyDescent="0.25">
      <c r="B1815" s="18">
        <f t="shared" si="288"/>
        <v>108</v>
      </c>
      <c r="C1815" s="176"/>
      <c r="D1815" s="176"/>
      <c r="E1815" s="176">
        <v>5</v>
      </c>
      <c r="F1815" s="177"/>
      <c r="G1815" s="177"/>
      <c r="H1815" s="176" t="s">
        <v>106</v>
      </c>
      <c r="I1815" s="178">
        <f>I1816+I1817+I1818+I1826</f>
        <v>2323000</v>
      </c>
      <c r="J1815" s="178">
        <f>J1816+J1817+J1818+J1826</f>
        <v>2155727</v>
      </c>
      <c r="K1815" s="361">
        <f t="shared" si="289"/>
        <v>92.799268187688327</v>
      </c>
      <c r="L1815" s="178">
        <f>L1827</f>
        <v>577000</v>
      </c>
      <c r="M1815" s="178">
        <f>M1827</f>
        <v>344390</v>
      </c>
      <c r="N1815" s="361">
        <f>M1815/L1815*100</f>
        <v>59.686308492201036</v>
      </c>
      <c r="O1815" s="179">
        <f t="shared" si="290"/>
        <v>2900000</v>
      </c>
      <c r="P1815" s="179">
        <f t="shared" si="291"/>
        <v>2500117</v>
      </c>
      <c r="Q1815" s="361">
        <f t="shared" si="292"/>
        <v>86.210931034482769</v>
      </c>
    </row>
    <row r="1816" spans="2:17" x14ac:dyDescent="0.2">
      <c r="B1816" s="18">
        <f t="shared" si="288"/>
        <v>109</v>
      </c>
      <c r="C1816" s="3"/>
      <c r="D1816" s="3"/>
      <c r="E1816" s="3"/>
      <c r="F1816" s="90" t="s">
        <v>76</v>
      </c>
      <c r="G1816" s="2">
        <v>610</v>
      </c>
      <c r="H1816" s="3" t="s">
        <v>131</v>
      </c>
      <c r="I1816" s="4">
        <f>812000+130000+170000+3000</f>
        <v>1115000</v>
      </c>
      <c r="J1816" s="4">
        <v>1068650</v>
      </c>
      <c r="K1816" s="361">
        <f t="shared" si="289"/>
        <v>95.843049327354251</v>
      </c>
      <c r="L1816" s="4"/>
      <c r="M1816" s="4"/>
      <c r="N1816" s="361"/>
      <c r="O1816" s="92">
        <f t="shared" si="290"/>
        <v>1115000</v>
      </c>
      <c r="P1816" s="92">
        <f t="shared" si="291"/>
        <v>1068650</v>
      </c>
      <c r="Q1816" s="361">
        <f t="shared" si="292"/>
        <v>95.843049327354251</v>
      </c>
    </row>
    <row r="1817" spans="2:17" x14ac:dyDescent="0.2">
      <c r="B1817" s="18">
        <f t="shared" si="288"/>
        <v>110</v>
      </c>
      <c r="C1817" s="3"/>
      <c r="D1817" s="3"/>
      <c r="E1817" s="3"/>
      <c r="F1817" s="90" t="s">
        <v>76</v>
      </c>
      <c r="G1817" s="2">
        <v>620</v>
      </c>
      <c r="H1817" s="3" t="s">
        <v>124</v>
      </c>
      <c r="I1817" s="4">
        <f>65840+30000+15360+15610+156100+8920+33450+11150+52900+15000</f>
        <v>404330</v>
      </c>
      <c r="J1817" s="4">
        <v>388998</v>
      </c>
      <c r="K1817" s="361">
        <f t="shared" si="289"/>
        <v>96.208047881680798</v>
      </c>
      <c r="L1817" s="4"/>
      <c r="M1817" s="4"/>
      <c r="N1817" s="361"/>
      <c r="O1817" s="92">
        <f t="shared" si="290"/>
        <v>404330</v>
      </c>
      <c r="P1817" s="92">
        <f t="shared" si="291"/>
        <v>388998</v>
      </c>
      <c r="Q1817" s="361">
        <f t="shared" si="292"/>
        <v>96.208047881680798</v>
      </c>
    </row>
    <row r="1818" spans="2:17" x14ac:dyDescent="0.2">
      <c r="B1818" s="18">
        <f t="shared" si="288"/>
        <v>111</v>
      </c>
      <c r="C1818" s="3"/>
      <c r="D1818" s="3"/>
      <c r="E1818" s="3"/>
      <c r="F1818" s="90" t="s">
        <v>76</v>
      </c>
      <c r="G1818" s="2">
        <v>630</v>
      </c>
      <c r="H1818" s="3" t="s">
        <v>121</v>
      </c>
      <c r="I1818" s="4">
        <f>I1825+I1824+I1823+I1822+I1821+I1820+I1819</f>
        <v>743670</v>
      </c>
      <c r="J1818" s="4">
        <f>J1825+J1824+J1823+J1822+J1821+J1820+J1819</f>
        <v>643231</v>
      </c>
      <c r="K1818" s="361">
        <f t="shared" si="289"/>
        <v>86.49414390791614</v>
      </c>
      <c r="L1818" s="4"/>
      <c r="M1818" s="4"/>
      <c r="N1818" s="361"/>
      <c r="O1818" s="92">
        <f t="shared" si="290"/>
        <v>743670</v>
      </c>
      <c r="P1818" s="92">
        <f t="shared" si="291"/>
        <v>643231</v>
      </c>
      <c r="Q1818" s="361">
        <f t="shared" si="292"/>
        <v>86.49414390791614</v>
      </c>
    </row>
    <row r="1819" spans="2:17" x14ac:dyDescent="0.2">
      <c r="B1819" s="18">
        <f t="shared" si="288"/>
        <v>112</v>
      </c>
      <c r="C1819" s="6"/>
      <c r="D1819" s="6"/>
      <c r="E1819" s="6"/>
      <c r="F1819" s="93"/>
      <c r="G1819" s="5">
        <v>631</v>
      </c>
      <c r="H1819" s="6" t="s">
        <v>127</v>
      </c>
      <c r="I1819" s="7">
        <v>200</v>
      </c>
      <c r="J1819" s="7">
        <v>85</v>
      </c>
      <c r="K1819" s="361">
        <f t="shared" si="289"/>
        <v>42.5</v>
      </c>
      <c r="L1819" s="7"/>
      <c r="M1819" s="7"/>
      <c r="N1819" s="361"/>
      <c r="O1819" s="95">
        <f t="shared" si="290"/>
        <v>200</v>
      </c>
      <c r="P1819" s="95">
        <f t="shared" si="291"/>
        <v>85</v>
      </c>
      <c r="Q1819" s="361">
        <f t="shared" si="292"/>
        <v>42.5</v>
      </c>
    </row>
    <row r="1820" spans="2:17" x14ac:dyDescent="0.2">
      <c r="B1820" s="18">
        <f t="shared" si="288"/>
        <v>113</v>
      </c>
      <c r="C1820" s="6"/>
      <c r="D1820" s="6"/>
      <c r="E1820" s="6"/>
      <c r="F1820" s="93"/>
      <c r="G1820" s="5">
        <v>632</v>
      </c>
      <c r="H1820" s="6" t="s">
        <v>134</v>
      </c>
      <c r="I1820" s="7">
        <f>235000+20000-15600</f>
        <v>239400</v>
      </c>
      <c r="J1820" s="7">
        <v>157258</v>
      </c>
      <c r="K1820" s="361">
        <f t="shared" si="289"/>
        <v>65.688387635756058</v>
      </c>
      <c r="L1820" s="7"/>
      <c r="M1820" s="7"/>
      <c r="N1820" s="361"/>
      <c r="O1820" s="95">
        <f t="shared" si="290"/>
        <v>239400</v>
      </c>
      <c r="P1820" s="95">
        <f t="shared" si="291"/>
        <v>157258</v>
      </c>
      <c r="Q1820" s="361">
        <f t="shared" si="292"/>
        <v>65.688387635756058</v>
      </c>
    </row>
    <row r="1821" spans="2:17" x14ac:dyDescent="0.2">
      <c r="B1821" s="18">
        <f t="shared" si="288"/>
        <v>114</v>
      </c>
      <c r="C1821" s="6"/>
      <c r="D1821" s="6"/>
      <c r="E1821" s="6"/>
      <c r="F1821" s="93"/>
      <c r="G1821" s="5">
        <v>633</v>
      </c>
      <c r="H1821" s="6" t="s">
        <v>125</v>
      </c>
      <c r="I1821" s="7">
        <f>44000+4850+4220+13000+3000</f>
        <v>69070</v>
      </c>
      <c r="J1821" s="7">
        <v>69044</v>
      </c>
      <c r="K1821" s="361">
        <f t="shared" si="289"/>
        <v>99.962357029100914</v>
      </c>
      <c r="L1821" s="7"/>
      <c r="M1821" s="7"/>
      <c r="N1821" s="361"/>
      <c r="O1821" s="95">
        <f t="shared" si="290"/>
        <v>69070</v>
      </c>
      <c r="P1821" s="95">
        <f t="shared" si="291"/>
        <v>69044</v>
      </c>
      <c r="Q1821" s="361">
        <f t="shared" si="292"/>
        <v>99.962357029100914</v>
      </c>
    </row>
    <row r="1822" spans="2:17" x14ac:dyDescent="0.2">
      <c r="B1822" s="18">
        <f t="shared" si="288"/>
        <v>115</v>
      </c>
      <c r="C1822" s="6"/>
      <c r="D1822" s="6"/>
      <c r="E1822" s="6"/>
      <c r="F1822" s="93"/>
      <c r="G1822" s="5">
        <v>634</v>
      </c>
      <c r="H1822" s="6" t="s">
        <v>132</v>
      </c>
      <c r="I1822" s="7">
        <v>1200</v>
      </c>
      <c r="J1822" s="7">
        <v>1200</v>
      </c>
      <c r="K1822" s="361">
        <f t="shared" si="289"/>
        <v>100</v>
      </c>
      <c r="L1822" s="7"/>
      <c r="M1822" s="7"/>
      <c r="N1822" s="361"/>
      <c r="O1822" s="95">
        <f t="shared" si="290"/>
        <v>1200</v>
      </c>
      <c r="P1822" s="95">
        <f t="shared" si="291"/>
        <v>1200</v>
      </c>
      <c r="Q1822" s="361">
        <f t="shared" si="292"/>
        <v>100</v>
      </c>
    </row>
    <row r="1823" spans="2:17" x14ac:dyDescent="0.2">
      <c r="B1823" s="18">
        <f t="shared" si="288"/>
        <v>116</v>
      </c>
      <c r="C1823" s="6"/>
      <c r="D1823" s="6"/>
      <c r="E1823" s="6"/>
      <c r="F1823" s="93"/>
      <c r="G1823" s="5">
        <v>635</v>
      </c>
      <c r="H1823" s="6" t="s">
        <v>133</v>
      </c>
      <c r="I1823" s="7">
        <f>50000+7800+25000</f>
        <v>82800</v>
      </c>
      <c r="J1823" s="7">
        <v>80014</v>
      </c>
      <c r="K1823" s="361">
        <f t="shared" si="289"/>
        <v>96.635265700483103</v>
      </c>
      <c r="L1823" s="7"/>
      <c r="M1823" s="7"/>
      <c r="N1823" s="361"/>
      <c r="O1823" s="95">
        <f t="shared" si="290"/>
        <v>82800</v>
      </c>
      <c r="P1823" s="95">
        <f t="shared" si="291"/>
        <v>80014</v>
      </c>
      <c r="Q1823" s="361">
        <f t="shared" si="292"/>
        <v>96.635265700483103</v>
      </c>
    </row>
    <row r="1824" spans="2:17" x14ac:dyDescent="0.2">
      <c r="B1824" s="18">
        <f t="shared" si="288"/>
        <v>117</v>
      </c>
      <c r="C1824" s="6"/>
      <c r="D1824" s="6"/>
      <c r="E1824" s="6"/>
      <c r="F1824" s="93"/>
      <c r="G1824" s="5">
        <v>636</v>
      </c>
      <c r="H1824" s="6" t="s">
        <v>126</v>
      </c>
      <c r="I1824" s="7">
        <v>1000</v>
      </c>
      <c r="J1824" s="7">
        <v>742</v>
      </c>
      <c r="K1824" s="361">
        <f t="shared" si="289"/>
        <v>74.2</v>
      </c>
      <c r="L1824" s="7"/>
      <c r="M1824" s="7"/>
      <c r="N1824" s="361"/>
      <c r="O1824" s="95">
        <f t="shared" si="290"/>
        <v>1000</v>
      </c>
      <c r="P1824" s="95">
        <f t="shared" si="291"/>
        <v>742</v>
      </c>
      <c r="Q1824" s="361">
        <f t="shared" si="292"/>
        <v>74.2</v>
      </c>
    </row>
    <row r="1825" spans="2:17" x14ac:dyDescent="0.2">
      <c r="B1825" s="18">
        <f t="shared" si="288"/>
        <v>118</v>
      </c>
      <c r="C1825" s="6"/>
      <c r="D1825" s="6"/>
      <c r="E1825" s="6"/>
      <c r="F1825" s="93"/>
      <c r="G1825" s="5">
        <v>637</v>
      </c>
      <c r="H1825" s="6" t="s">
        <v>122</v>
      </c>
      <c r="I1825" s="7">
        <f>280000+70000</f>
        <v>350000</v>
      </c>
      <c r="J1825" s="7">
        <f>330958+3930</f>
        <v>334888</v>
      </c>
      <c r="K1825" s="361">
        <f t="shared" si="289"/>
        <v>95.682285714285726</v>
      </c>
      <c r="L1825" s="7"/>
      <c r="M1825" s="7"/>
      <c r="N1825" s="361"/>
      <c r="O1825" s="95">
        <f t="shared" si="290"/>
        <v>350000</v>
      </c>
      <c r="P1825" s="95">
        <f t="shared" si="291"/>
        <v>334888</v>
      </c>
      <c r="Q1825" s="361">
        <f t="shared" si="292"/>
        <v>95.682285714285726</v>
      </c>
    </row>
    <row r="1826" spans="2:17" x14ac:dyDescent="0.2">
      <c r="B1826" s="18">
        <f t="shared" si="288"/>
        <v>119</v>
      </c>
      <c r="C1826" s="3"/>
      <c r="D1826" s="3"/>
      <c r="E1826" s="3"/>
      <c r="F1826" s="90" t="s">
        <v>76</v>
      </c>
      <c r="G1826" s="2">
        <v>640</v>
      </c>
      <c r="H1826" s="3" t="s">
        <v>129</v>
      </c>
      <c r="I1826" s="4">
        <v>60000</v>
      </c>
      <c r="J1826" s="4">
        <v>54848</v>
      </c>
      <c r="K1826" s="361">
        <f t="shared" si="289"/>
        <v>91.413333333333341</v>
      </c>
      <c r="L1826" s="4"/>
      <c r="M1826" s="4"/>
      <c r="N1826" s="361"/>
      <c r="O1826" s="92">
        <f t="shared" si="290"/>
        <v>60000</v>
      </c>
      <c r="P1826" s="92">
        <f t="shared" si="291"/>
        <v>54848</v>
      </c>
      <c r="Q1826" s="361">
        <f t="shared" si="292"/>
        <v>91.413333333333341</v>
      </c>
    </row>
    <row r="1827" spans="2:17" x14ac:dyDescent="0.2">
      <c r="B1827" s="18">
        <f t="shared" si="288"/>
        <v>120</v>
      </c>
      <c r="C1827" s="3"/>
      <c r="D1827" s="3"/>
      <c r="E1827" s="3"/>
      <c r="F1827" s="90" t="s">
        <v>76</v>
      </c>
      <c r="G1827" s="2">
        <v>710</v>
      </c>
      <c r="H1827" s="3" t="s">
        <v>175</v>
      </c>
      <c r="I1827" s="4"/>
      <c r="J1827" s="4"/>
      <c r="K1827" s="361"/>
      <c r="L1827" s="4">
        <f>L1830+L1832+L1828</f>
        <v>577000</v>
      </c>
      <c r="M1827" s="4">
        <f>M1830+M1832+M1828</f>
        <v>344390</v>
      </c>
      <c r="N1827" s="361">
        <f t="shared" ref="N1827:N1835" si="293">M1827/L1827*100</f>
        <v>59.686308492201036</v>
      </c>
      <c r="O1827" s="92">
        <f t="shared" si="290"/>
        <v>577000</v>
      </c>
      <c r="P1827" s="92">
        <f t="shared" si="291"/>
        <v>344390</v>
      </c>
      <c r="Q1827" s="361">
        <f t="shared" si="292"/>
        <v>59.686308492201036</v>
      </c>
    </row>
    <row r="1828" spans="2:17" x14ac:dyDescent="0.2">
      <c r="B1828" s="18">
        <f t="shared" si="288"/>
        <v>121</v>
      </c>
      <c r="C1828" s="3"/>
      <c r="D1828" s="3"/>
      <c r="E1828" s="3"/>
      <c r="F1828" s="90"/>
      <c r="G1828" s="5">
        <v>713</v>
      </c>
      <c r="H1828" s="6" t="s">
        <v>218</v>
      </c>
      <c r="I1828" s="7"/>
      <c r="J1828" s="7"/>
      <c r="K1828" s="361"/>
      <c r="L1828" s="7">
        <f>L1829</f>
        <v>4000</v>
      </c>
      <c r="M1828" s="7">
        <f>M1829</f>
        <v>3999</v>
      </c>
      <c r="N1828" s="361">
        <f t="shared" si="293"/>
        <v>99.975000000000009</v>
      </c>
      <c r="O1828" s="95">
        <f t="shared" si="290"/>
        <v>4000</v>
      </c>
      <c r="P1828" s="95">
        <f t="shared" si="291"/>
        <v>3999</v>
      </c>
      <c r="Q1828" s="361">
        <f t="shared" si="292"/>
        <v>99.975000000000009</v>
      </c>
    </row>
    <row r="1829" spans="2:17" x14ac:dyDescent="0.2">
      <c r="B1829" s="18">
        <f t="shared" si="288"/>
        <v>122</v>
      </c>
      <c r="C1829" s="3"/>
      <c r="D1829" s="3"/>
      <c r="E1829" s="3"/>
      <c r="F1829" s="90"/>
      <c r="G1829" s="106"/>
      <c r="H1829" s="9" t="s">
        <v>645</v>
      </c>
      <c r="I1829" s="10"/>
      <c r="J1829" s="10"/>
      <c r="K1829" s="361"/>
      <c r="L1829" s="10">
        <v>4000</v>
      </c>
      <c r="M1829" s="10">
        <v>3999</v>
      </c>
      <c r="N1829" s="361">
        <f t="shared" si="293"/>
        <v>99.975000000000009</v>
      </c>
      <c r="O1829" s="108">
        <f t="shared" si="290"/>
        <v>4000</v>
      </c>
      <c r="P1829" s="108">
        <f t="shared" si="291"/>
        <v>3999</v>
      </c>
      <c r="Q1829" s="361">
        <f t="shared" si="292"/>
        <v>99.975000000000009</v>
      </c>
    </row>
    <row r="1830" spans="2:17" x14ac:dyDescent="0.2">
      <c r="B1830" s="18">
        <f t="shared" si="288"/>
        <v>123</v>
      </c>
      <c r="C1830" s="9"/>
      <c r="D1830" s="9"/>
      <c r="E1830" s="9"/>
      <c r="F1830" s="194"/>
      <c r="G1830" s="5">
        <v>716</v>
      </c>
      <c r="H1830" s="6" t="s">
        <v>215</v>
      </c>
      <c r="I1830" s="7"/>
      <c r="J1830" s="7"/>
      <c r="K1830" s="361"/>
      <c r="L1830" s="7">
        <f>L1831</f>
        <v>10000</v>
      </c>
      <c r="M1830" s="7">
        <f>M1831</f>
        <v>9840</v>
      </c>
      <c r="N1830" s="361">
        <f t="shared" si="293"/>
        <v>98.4</v>
      </c>
      <c r="O1830" s="108">
        <f t="shared" si="290"/>
        <v>10000</v>
      </c>
      <c r="P1830" s="108">
        <f t="shared" si="291"/>
        <v>9840</v>
      </c>
      <c r="Q1830" s="361">
        <f t="shared" si="292"/>
        <v>98.4</v>
      </c>
    </row>
    <row r="1831" spans="2:17" x14ac:dyDescent="0.2">
      <c r="B1831" s="18">
        <f t="shared" si="288"/>
        <v>124</v>
      </c>
      <c r="C1831" s="9"/>
      <c r="D1831" s="9"/>
      <c r="E1831" s="9"/>
      <c r="F1831" s="194"/>
      <c r="G1831" s="106"/>
      <c r="H1831" s="9" t="s">
        <v>413</v>
      </c>
      <c r="I1831" s="10"/>
      <c r="J1831" s="10"/>
      <c r="K1831" s="361"/>
      <c r="L1831" s="10">
        <v>10000</v>
      </c>
      <c r="M1831" s="10">
        <v>9840</v>
      </c>
      <c r="N1831" s="361">
        <f t="shared" si="293"/>
        <v>98.4</v>
      </c>
      <c r="O1831" s="108">
        <f t="shared" si="290"/>
        <v>10000</v>
      </c>
      <c r="P1831" s="108">
        <f t="shared" si="291"/>
        <v>9840</v>
      </c>
      <c r="Q1831" s="361">
        <f t="shared" si="292"/>
        <v>98.4</v>
      </c>
    </row>
    <row r="1832" spans="2:17" x14ac:dyDescent="0.2">
      <c r="B1832" s="18">
        <f t="shared" si="288"/>
        <v>125</v>
      </c>
      <c r="C1832" s="6"/>
      <c r="D1832" s="6"/>
      <c r="E1832" s="6"/>
      <c r="F1832" s="93"/>
      <c r="G1832" s="5">
        <v>717</v>
      </c>
      <c r="H1832" s="6" t="s">
        <v>182</v>
      </c>
      <c r="I1832" s="7"/>
      <c r="J1832" s="7"/>
      <c r="K1832" s="361"/>
      <c r="L1832" s="7">
        <f>L1833+L1834+L1835</f>
        <v>563000</v>
      </c>
      <c r="M1832" s="7">
        <f>M1833+M1834+M1835</f>
        <v>330551</v>
      </c>
      <c r="N1832" s="361">
        <f t="shared" si="293"/>
        <v>58.712433392539964</v>
      </c>
      <c r="O1832" s="108">
        <f t="shared" si="290"/>
        <v>563000</v>
      </c>
      <c r="P1832" s="108">
        <f t="shared" si="291"/>
        <v>330551</v>
      </c>
      <c r="Q1832" s="361">
        <f t="shared" si="292"/>
        <v>58.712433392539964</v>
      </c>
    </row>
    <row r="1833" spans="2:17" ht="13.5" customHeight="1" x14ac:dyDescent="0.2">
      <c r="B1833" s="18">
        <f t="shared" si="288"/>
        <v>126</v>
      </c>
      <c r="C1833" s="9"/>
      <c r="D1833" s="9"/>
      <c r="E1833" s="9"/>
      <c r="F1833" s="194"/>
      <c r="G1833" s="106"/>
      <c r="H1833" s="9" t="s">
        <v>413</v>
      </c>
      <c r="I1833" s="10"/>
      <c r="J1833" s="10"/>
      <c r="K1833" s="361"/>
      <c r="L1833" s="10">
        <f>450000+4000+4000</f>
        <v>458000</v>
      </c>
      <c r="M1833" s="10">
        <v>230564</v>
      </c>
      <c r="N1833" s="361">
        <f t="shared" si="293"/>
        <v>50.341484716157204</v>
      </c>
      <c r="O1833" s="108">
        <f t="shared" si="290"/>
        <v>458000</v>
      </c>
      <c r="P1833" s="108">
        <f t="shared" si="291"/>
        <v>230564</v>
      </c>
      <c r="Q1833" s="361">
        <f t="shared" si="292"/>
        <v>50.341484716157204</v>
      </c>
    </row>
    <row r="1834" spans="2:17" ht="13.5" customHeight="1" x14ac:dyDescent="0.2">
      <c r="B1834" s="18">
        <f t="shared" si="288"/>
        <v>127</v>
      </c>
      <c r="C1834" s="9"/>
      <c r="D1834" s="9"/>
      <c r="E1834" s="9"/>
      <c r="F1834" s="194"/>
      <c r="G1834" s="106"/>
      <c r="H1834" s="9" t="s">
        <v>646</v>
      </c>
      <c r="I1834" s="10"/>
      <c r="J1834" s="10"/>
      <c r="K1834" s="361"/>
      <c r="L1834" s="10">
        <v>65000</v>
      </c>
      <c r="M1834" s="10">
        <v>59988</v>
      </c>
      <c r="N1834" s="361">
        <f t="shared" si="293"/>
        <v>92.28923076923077</v>
      </c>
      <c r="O1834" s="108">
        <f t="shared" si="290"/>
        <v>65000</v>
      </c>
      <c r="P1834" s="108">
        <f t="shared" si="291"/>
        <v>59988</v>
      </c>
      <c r="Q1834" s="361">
        <f t="shared" si="292"/>
        <v>92.28923076923077</v>
      </c>
    </row>
    <row r="1835" spans="2:17" x14ac:dyDescent="0.2">
      <c r="B1835" s="18">
        <f t="shared" si="288"/>
        <v>128</v>
      </c>
      <c r="C1835" s="9"/>
      <c r="D1835" s="9"/>
      <c r="E1835" s="9"/>
      <c r="F1835" s="194"/>
      <c r="G1835" s="106"/>
      <c r="H1835" s="9" t="s">
        <v>647</v>
      </c>
      <c r="I1835" s="10"/>
      <c r="J1835" s="10"/>
      <c r="K1835" s="361"/>
      <c r="L1835" s="10">
        <v>40000</v>
      </c>
      <c r="M1835" s="10">
        <v>39999</v>
      </c>
      <c r="N1835" s="361">
        <f t="shared" si="293"/>
        <v>99.997499999999988</v>
      </c>
      <c r="O1835" s="108">
        <f t="shared" si="290"/>
        <v>40000</v>
      </c>
      <c r="P1835" s="108">
        <f t="shared" si="291"/>
        <v>39999</v>
      </c>
      <c r="Q1835" s="361">
        <f t="shared" si="292"/>
        <v>99.997499999999988</v>
      </c>
    </row>
    <row r="1836" spans="2:17" ht="15" x14ac:dyDescent="0.2">
      <c r="B1836" s="18">
        <f t="shared" si="288"/>
        <v>129</v>
      </c>
      <c r="C1836" s="82">
        <v>7</v>
      </c>
      <c r="D1836" s="495" t="s">
        <v>51</v>
      </c>
      <c r="E1836" s="496"/>
      <c r="F1836" s="496"/>
      <c r="G1836" s="496"/>
      <c r="H1836" s="496"/>
      <c r="I1836" s="83">
        <f>I1837</f>
        <v>1156895</v>
      </c>
      <c r="J1836" s="83">
        <f>J1837</f>
        <v>1034773</v>
      </c>
      <c r="K1836" s="361">
        <f t="shared" ref="K1836:K1864" si="294">J1836/I1836*100</f>
        <v>89.443985841411717</v>
      </c>
      <c r="L1836" s="83"/>
      <c r="M1836" s="83"/>
      <c r="N1836" s="361"/>
      <c r="O1836" s="99">
        <f t="shared" si="290"/>
        <v>1156895</v>
      </c>
      <c r="P1836" s="99">
        <f t="shared" si="291"/>
        <v>1034773</v>
      </c>
      <c r="Q1836" s="361">
        <f t="shared" si="292"/>
        <v>89.443985841411717</v>
      </c>
    </row>
    <row r="1837" spans="2:17" ht="15" x14ac:dyDescent="0.25">
      <c r="B1837" s="18">
        <f t="shared" si="288"/>
        <v>130</v>
      </c>
      <c r="C1837" s="176"/>
      <c r="D1837" s="176"/>
      <c r="E1837" s="176">
        <v>5</v>
      </c>
      <c r="F1837" s="177"/>
      <c r="G1837" s="177"/>
      <c r="H1837" s="176" t="s">
        <v>106</v>
      </c>
      <c r="I1837" s="178">
        <f>I1838+I1839+I1840+I1846</f>
        <v>1156895</v>
      </c>
      <c r="J1837" s="178">
        <f>J1838+J1839+J1840+J1846</f>
        <v>1034773</v>
      </c>
      <c r="K1837" s="361">
        <f t="shared" si="294"/>
        <v>89.443985841411717</v>
      </c>
      <c r="L1837" s="178"/>
      <c r="M1837" s="178"/>
      <c r="N1837" s="361"/>
      <c r="O1837" s="179">
        <f t="shared" si="290"/>
        <v>1156895</v>
      </c>
      <c r="P1837" s="179">
        <f t="shared" si="291"/>
        <v>1034773</v>
      </c>
      <c r="Q1837" s="361">
        <f t="shared" si="292"/>
        <v>89.443985841411717</v>
      </c>
    </row>
    <row r="1838" spans="2:17" x14ac:dyDescent="0.2">
      <c r="B1838" s="18">
        <f t="shared" si="288"/>
        <v>131</v>
      </c>
      <c r="C1838" s="3"/>
      <c r="D1838" s="3"/>
      <c r="E1838" s="3"/>
      <c r="F1838" s="90" t="s">
        <v>76</v>
      </c>
      <c r="G1838" s="2">
        <v>610</v>
      </c>
      <c r="H1838" s="3" t="s">
        <v>131</v>
      </c>
      <c r="I1838" s="4">
        <f>760284+13700+3700+600+1-2700</f>
        <v>775585</v>
      </c>
      <c r="J1838" s="4">
        <v>697109</v>
      </c>
      <c r="K1838" s="361">
        <f t="shared" si="294"/>
        <v>89.88170219898528</v>
      </c>
      <c r="L1838" s="4"/>
      <c r="M1838" s="4"/>
      <c r="N1838" s="361"/>
      <c r="O1838" s="92">
        <f t="shared" si="290"/>
        <v>775585</v>
      </c>
      <c r="P1838" s="92">
        <f t="shared" si="291"/>
        <v>697109</v>
      </c>
      <c r="Q1838" s="361">
        <f t="shared" si="292"/>
        <v>89.88170219898528</v>
      </c>
    </row>
    <row r="1839" spans="2:17" x14ac:dyDescent="0.2">
      <c r="B1839" s="18">
        <f t="shared" ref="B1839:B1870" si="295">B1838+1</f>
        <v>132</v>
      </c>
      <c r="C1839" s="3"/>
      <c r="D1839" s="3"/>
      <c r="E1839" s="3"/>
      <c r="F1839" s="90" t="s">
        <v>76</v>
      </c>
      <c r="G1839" s="2">
        <v>620</v>
      </c>
      <c r="H1839" s="3" t="s">
        <v>124</v>
      </c>
      <c r="I1839" s="4">
        <f>47200+16750+13850+10890+108900+6230+23330+7780+36940+14500</f>
        <v>286370</v>
      </c>
      <c r="J1839" s="4">
        <v>253903</v>
      </c>
      <c r="K1839" s="361">
        <f t="shared" si="294"/>
        <v>88.662569403219621</v>
      </c>
      <c r="L1839" s="4"/>
      <c r="M1839" s="4"/>
      <c r="N1839" s="361"/>
      <c r="O1839" s="92">
        <f t="shared" si="290"/>
        <v>286370</v>
      </c>
      <c r="P1839" s="92">
        <f t="shared" si="291"/>
        <v>253903</v>
      </c>
      <c r="Q1839" s="361">
        <f t="shared" si="292"/>
        <v>88.662569403219621</v>
      </c>
    </row>
    <row r="1840" spans="2:17" x14ac:dyDescent="0.2">
      <c r="B1840" s="18">
        <f t="shared" si="295"/>
        <v>133</v>
      </c>
      <c r="C1840" s="3"/>
      <c r="D1840" s="3"/>
      <c r="E1840" s="3"/>
      <c r="F1840" s="90" t="s">
        <v>76</v>
      </c>
      <c r="G1840" s="2">
        <v>630</v>
      </c>
      <c r="H1840" s="3" t="s">
        <v>121</v>
      </c>
      <c r="I1840" s="4">
        <f>I1845+I1844+I1843+I1842+I1841</f>
        <v>38440</v>
      </c>
      <c r="J1840" s="4">
        <f>J1845+J1844+J1843+J1842+J1841</f>
        <v>32364</v>
      </c>
      <c r="K1840" s="361">
        <f t="shared" si="294"/>
        <v>84.193548387096769</v>
      </c>
      <c r="L1840" s="4"/>
      <c r="M1840" s="4"/>
      <c r="N1840" s="361"/>
      <c r="O1840" s="92">
        <f t="shared" si="290"/>
        <v>38440</v>
      </c>
      <c r="P1840" s="92">
        <f t="shared" si="291"/>
        <v>32364</v>
      </c>
      <c r="Q1840" s="361">
        <f t="shared" si="292"/>
        <v>84.193548387096769</v>
      </c>
    </row>
    <row r="1841" spans="2:17" x14ac:dyDescent="0.2">
      <c r="B1841" s="18">
        <f t="shared" si="295"/>
        <v>134</v>
      </c>
      <c r="C1841" s="6"/>
      <c r="D1841" s="6"/>
      <c r="E1841" s="6"/>
      <c r="F1841" s="93"/>
      <c r="G1841" s="5">
        <v>631</v>
      </c>
      <c r="H1841" s="6" t="s">
        <v>127</v>
      </c>
      <c r="I1841" s="7">
        <v>500</v>
      </c>
      <c r="J1841" s="7">
        <v>214</v>
      </c>
      <c r="K1841" s="361">
        <f t="shared" si="294"/>
        <v>42.8</v>
      </c>
      <c r="L1841" s="7"/>
      <c r="M1841" s="7"/>
      <c r="N1841" s="361"/>
      <c r="O1841" s="95">
        <f t="shared" ref="O1841:O1868" si="296">I1841+L1841</f>
        <v>500</v>
      </c>
      <c r="P1841" s="95">
        <f t="shared" ref="P1841:P1868" si="297">J1841+M1841</f>
        <v>214</v>
      </c>
      <c r="Q1841" s="361">
        <f t="shared" ref="Q1841:Q1872" si="298">P1841/O1841*100</f>
        <v>42.8</v>
      </c>
    </row>
    <row r="1842" spans="2:17" x14ac:dyDescent="0.2">
      <c r="B1842" s="18">
        <f t="shared" si="295"/>
        <v>135</v>
      </c>
      <c r="C1842" s="6"/>
      <c r="D1842" s="6"/>
      <c r="E1842" s="6"/>
      <c r="F1842" s="93"/>
      <c r="G1842" s="5">
        <v>632</v>
      </c>
      <c r="H1842" s="6" t="s">
        <v>134</v>
      </c>
      <c r="I1842" s="7">
        <v>730</v>
      </c>
      <c r="J1842" s="7">
        <v>649</v>
      </c>
      <c r="K1842" s="361">
        <f t="shared" si="294"/>
        <v>88.904109589041099</v>
      </c>
      <c r="L1842" s="7"/>
      <c r="M1842" s="7"/>
      <c r="N1842" s="361"/>
      <c r="O1842" s="95">
        <f t="shared" si="296"/>
        <v>730</v>
      </c>
      <c r="P1842" s="95">
        <f t="shared" si="297"/>
        <v>649</v>
      </c>
      <c r="Q1842" s="361">
        <f t="shared" si="298"/>
        <v>88.904109589041099</v>
      </c>
    </row>
    <row r="1843" spans="2:17" x14ac:dyDescent="0.2">
      <c r="B1843" s="18">
        <f t="shared" si="295"/>
        <v>136</v>
      </c>
      <c r="C1843" s="6"/>
      <c r="D1843" s="6"/>
      <c r="E1843" s="6"/>
      <c r="F1843" s="93"/>
      <c r="G1843" s="5">
        <v>633</v>
      </c>
      <c r="H1843" s="6" t="s">
        <v>125</v>
      </c>
      <c r="I1843" s="7">
        <f>300+610+4500</f>
        <v>5410</v>
      </c>
      <c r="J1843" s="7">
        <v>4492</v>
      </c>
      <c r="K1843" s="361">
        <f t="shared" si="294"/>
        <v>83.031423290203335</v>
      </c>
      <c r="L1843" s="7"/>
      <c r="M1843" s="7"/>
      <c r="N1843" s="361"/>
      <c r="O1843" s="95">
        <f t="shared" si="296"/>
        <v>5410</v>
      </c>
      <c r="P1843" s="95">
        <f t="shared" si="297"/>
        <v>4492</v>
      </c>
      <c r="Q1843" s="361">
        <f t="shared" si="298"/>
        <v>83.031423290203335</v>
      </c>
    </row>
    <row r="1844" spans="2:17" x14ac:dyDescent="0.2">
      <c r="B1844" s="18">
        <f t="shared" si="295"/>
        <v>137</v>
      </c>
      <c r="C1844" s="6"/>
      <c r="D1844" s="6"/>
      <c r="E1844" s="6"/>
      <c r="F1844" s="93"/>
      <c r="G1844" s="5">
        <v>634</v>
      </c>
      <c r="H1844" s="6" t="s">
        <v>132</v>
      </c>
      <c r="I1844" s="7">
        <f>6600+450</f>
        <v>7050</v>
      </c>
      <c r="J1844" s="7">
        <v>7010</v>
      </c>
      <c r="K1844" s="361">
        <f t="shared" si="294"/>
        <v>99.432624113475171</v>
      </c>
      <c r="L1844" s="7"/>
      <c r="M1844" s="7"/>
      <c r="N1844" s="361"/>
      <c r="O1844" s="95">
        <f t="shared" si="296"/>
        <v>7050</v>
      </c>
      <c r="P1844" s="95">
        <f t="shared" si="297"/>
        <v>7010</v>
      </c>
      <c r="Q1844" s="361">
        <f t="shared" si="298"/>
        <v>99.432624113475171</v>
      </c>
    </row>
    <row r="1845" spans="2:17" x14ac:dyDescent="0.2">
      <c r="B1845" s="18">
        <f t="shared" si="295"/>
        <v>138</v>
      </c>
      <c r="C1845" s="6"/>
      <c r="D1845" s="6"/>
      <c r="E1845" s="6"/>
      <c r="F1845" s="93"/>
      <c r="G1845" s="5">
        <v>637</v>
      </c>
      <c r="H1845" s="6" t="s">
        <v>122</v>
      </c>
      <c r="I1845" s="7">
        <f>32200-4000-3000-450</f>
        <v>24750</v>
      </c>
      <c r="J1845" s="7">
        <f>15983+4016</f>
        <v>19999</v>
      </c>
      <c r="K1845" s="361">
        <f t="shared" si="294"/>
        <v>80.804040404040407</v>
      </c>
      <c r="L1845" s="7"/>
      <c r="M1845" s="7"/>
      <c r="N1845" s="361"/>
      <c r="O1845" s="95">
        <f t="shared" si="296"/>
        <v>24750</v>
      </c>
      <c r="P1845" s="95">
        <f t="shared" si="297"/>
        <v>19999</v>
      </c>
      <c r="Q1845" s="361">
        <f t="shared" si="298"/>
        <v>80.804040404040407</v>
      </c>
    </row>
    <row r="1846" spans="2:17" x14ac:dyDescent="0.2">
      <c r="B1846" s="18">
        <f t="shared" si="295"/>
        <v>139</v>
      </c>
      <c r="C1846" s="3"/>
      <c r="D1846" s="3"/>
      <c r="E1846" s="3"/>
      <c r="F1846" s="90" t="s">
        <v>76</v>
      </c>
      <c r="G1846" s="2">
        <v>640</v>
      </c>
      <c r="H1846" s="3" t="s">
        <v>129</v>
      </c>
      <c r="I1846" s="4">
        <f>23250+34050+11200-12000</f>
        <v>56500</v>
      </c>
      <c r="J1846" s="4">
        <v>51397</v>
      </c>
      <c r="K1846" s="361">
        <f t="shared" si="294"/>
        <v>90.968141592920347</v>
      </c>
      <c r="L1846" s="4"/>
      <c r="M1846" s="4"/>
      <c r="N1846" s="361"/>
      <c r="O1846" s="92">
        <f t="shared" si="296"/>
        <v>56500</v>
      </c>
      <c r="P1846" s="92">
        <f t="shared" si="297"/>
        <v>51397</v>
      </c>
      <c r="Q1846" s="361">
        <f t="shared" si="298"/>
        <v>90.968141592920347</v>
      </c>
    </row>
    <row r="1847" spans="2:17" ht="15" x14ac:dyDescent="0.2">
      <c r="B1847" s="18">
        <f t="shared" si="295"/>
        <v>140</v>
      </c>
      <c r="C1847" s="82">
        <v>8</v>
      </c>
      <c r="D1847" s="495" t="s">
        <v>194</v>
      </c>
      <c r="E1847" s="496"/>
      <c r="F1847" s="496"/>
      <c r="G1847" s="496"/>
      <c r="H1847" s="496"/>
      <c r="I1847" s="83">
        <f>I1848</f>
        <v>10650</v>
      </c>
      <c r="J1847" s="83">
        <f>J1848</f>
        <v>7848</v>
      </c>
      <c r="K1847" s="361">
        <f t="shared" si="294"/>
        <v>73.690140845070417</v>
      </c>
      <c r="L1847" s="83"/>
      <c r="M1847" s="83"/>
      <c r="N1847" s="361"/>
      <c r="O1847" s="99">
        <f t="shared" si="296"/>
        <v>10650</v>
      </c>
      <c r="P1847" s="99">
        <f t="shared" si="297"/>
        <v>7848</v>
      </c>
      <c r="Q1847" s="361">
        <f t="shared" si="298"/>
        <v>73.690140845070417</v>
      </c>
    </row>
    <row r="1848" spans="2:17" x14ac:dyDescent="0.2">
      <c r="B1848" s="18">
        <f t="shared" si="295"/>
        <v>141</v>
      </c>
      <c r="C1848" s="3"/>
      <c r="D1848" s="3"/>
      <c r="E1848" s="3"/>
      <c r="F1848" s="90" t="s">
        <v>144</v>
      </c>
      <c r="G1848" s="2">
        <v>630</v>
      </c>
      <c r="H1848" s="3" t="s">
        <v>121</v>
      </c>
      <c r="I1848" s="4">
        <f>I1849</f>
        <v>10650</v>
      </c>
      <c r="J1848" s="4">
        <f>J1849</f>
        <v>7848</v>
      </c>
      <c r="K1848" s="361">
        <f t="shared" si="294"/>
        <v>73.690140845070417</v>
      </c>
      <c r="L1848" s="4"/>
      <c r="M1848" s="4"/>
      <c r="N1848" s="361"/>
      <c r="O1848" s="92">
        <f t="shared" si="296"/>
        <v>10650</v>
      </c>
      <c r="P1848" s="92">
        <f t="shared" si="297"/>
        <v>7848</v>
      </c>
      <c r="Q1848" s="361">
        <f t="shared" si="298"/>
        <v>73.690140845070417</v>
      </c>
    </row>
    <row r="1849" spans="2:17" x14ac:dyDescent="0.2">
      <c r="B1849" s="18">
        <f t="shared" si="295"/>
        <v>142</v>
      </c>
      <c r="C1849" s="6"/>
      <c r="D1849" s="6"/>
      <c r="E1849" s="6"/>
      <c r="F1849" s="93"/>
      <c r="G1849" s="5">
        <v>637</v>
      </c>
      <c r="H1849" s="6" t="s">
        <v>122</v>
      </c>
      <c r="I1849" s="7">
        <f>7000-350+2000+2000</f>
        <v>10650</v>
      </c>
      <c r="J1849" s="7">
        <v>7848</v>
      </c>
      <c r="K1849" s="361">
        <f t="shared" si="294"/>
        <v>73.690140845070417</v>
      </c>
      <c r="L1849" s="7"/>
      <c r="M1849" s="7"/>
      <c r="N1849" s="361"/>
      <c r="O1849" s="95">
        <f t="shared" si="296"/>
        <v>10650</v>
      </c>
      <c r="P1849" s="95">
        <f t="shared" si="297"/>
        <v>7848</v>
      </c>
      <c r="Q1849" s="361">
        <f t="shared" si="298"/>
        <v>73.690140845070417</v>
      </c>
    </row>
    <row r="1850" spans="2:17" ht="15" x14ac:dyDescent="0.2">
      <c r="B1850" s="18">
        <f t="shared" si="295"/>
        <v>143</v>
      </c>
      <c r="C1850" s="82">
        <v>9</v>
      </c>
      <c r="D1850" s="495" t="s">
        <v>173</v>
      </c>
      <c r="E1850" s="496"/>
      <c r="F1850" s="496"/>
      <c r="G1850" s="496"/>
      <c r="H1850" s="496"/>
      <c r="I1850" s="83">
        <f>I1851+I1853</f>
        <v>19800</v>
      </c>
      <c r="J1850" s="83">
        <f>J1851+J1853</f>
        <v>18220</v>
      </c>
      <c r="K1850" s="361">
        <f t="shared" si="294"/>
        <v>92.020202020202021</v>
      </c>
      <c r="L1850" s="83"/>
      <c r="M1850" s="83"/>
      <c r="N1850" s="361"/>
      <c r="O1850" s="99">
        <f t="shared" si="296"/>
        <v>19800</v>
      </c>
      <c r="P1850" s="99">
        <f t="shared" si="297"/>
        <v>18220</v>
      </c>
      <c r="Q1850" s="361">
        <f t="shared" si="298"/>
        <v>92.020202020202021</v>
      </c>
    </row>
    <row r="1851" spans="2:17" x14ac:dyDescent="0.2">
      <c r="B1851" s="18">
        <f t="shared" si="295"/>
        <v>144</v>
      </c>
      <c r="C1851" s="3"/>
      <c r="D1851" s="3"/>
      <c r="E1851" s="3"/>
      <c r="F1851" s="90" t="s">
        <v>75</v>
      </c>
      <c r="G1851" s="2">
        <v>630</v>
      </c>
      <c r="H1851" s="3" t="s">
        <v>121</v>
      </c>
      <c r="I1851" s="4">
        <f>I1852</f>
        <v>18700</v>
      </c>
      <c r="J1851" s="4">
        <f>J1852</f>
        <v>18220</v>
      </c>
      <c r="K1851" s="361">
        <f t="shared" si="294"/>
        <v>97.433155080213908</v>
      </c>
      <c r="L1851" s="4"/>
      <c r="M1851" s="4"/>
      <c r="N1851" s="361"/>
      <c r="O1851" s="92">
        <f t="shared" si="296"/>
        <v>18700</v>
      </c>
      <c r="P1851" s="92">
        <f t="shared" si="297"/>
        <v>18220</v>
      </c>
      <c r="Q1851" s="361">
        <f t="shared" si="298"/>
        <v>97.433155080213908</v>
      </c>
    </row>
    <row r="1852" spans="2:17" x14ac:dyDescent="0.2">
      <c r="B1852" s="18">
        <f t="shared" si="295"/>
        <v>145</v>
      </c>
      <c r="C1852" s="6"/>
      <c r="D1852" s="6"/>
      <c r="E1852" s="6"/>
      <c r="F1852" s="93"/>
      <c r="G1852" s="5">
        <v>637</v>
      </c>
      <c r="H1852" s="6" t="s">
        <v>122</v>
      </c>
      <c r="I1852" s="7">
        <f>16000+2700</f>
        <v>18700</v>
      </c>
      <c r="J1852" s="7">
        <v>18220</v>
      </c>
      <c r="K1852" s="361">
        <f t="shared" si="294"/>
        <v>97.433155080213908</v>
      </c>
      <c r="L1852" s="7"/>
      <c r="M1852" s="7"/>
      <c r="N1852" s="361"/>
      <c r="O1852" s="95">
        <f t="shared" si="296"/>
        <v>18700</v>
      </c>
      <c r="P1852" s="95">
        <f t="shared" si="297"/>
        <v>18220</v>
      </c>
      <c r="Q1852" s="361">
        <f t="shared" si="298"/>
        <v>97.433155080213908</v>
      </c>
    </row>
    <row r="1853" spans="2:17" x14ac:dyDescent="0.2">
      <c r="B1853" s="18">
        <f t="shared" si="295"/>
        <v>146</v>
      </c>
      <c r="C1853" s="3"/>
      <c r="D1853" s="3"/>
      <c r="E1853" s="3"/>
      <c r="F1853" s="90" t="s">
        <v>75</v>
      </c>
      <c r="G1853" s="2">
        <v>640</v>
      </c>
      <c r="H1853" s="3" t="s">
        <v>129</v>
      </c>
      <c r="I1853" s="4">
        <f>I1854</f>
        <v>1100</v>
      </c>
      <c r="J1853" s="4">
        <f>J1854</f>
        <v>0</v>
      </c>
      <c r="K1853" s="361">
        <f t="shared" si="294"/>
        <v>0</v>
      </c>
      <c r="L1853" s="4"/>
      <c r="M1853" s="4"/>
      <c r="N1853" s="361"/>
      <c r="O1853" s="92">
        <f t="shared" si="296"/>
        <v>1100</v>
      </c>
      <c r="P1853" s="92">
        <f t="shared" si="297"/>
        <v>0</v>
      </c>
      <c r="Q1853" s="361">
        <f t="shared" si="298"/>
        <v>0</v>
      </c>
    </row>
    <row r="1854" spans="2:17" x14ac:dyDescent="0.2">
      <c r="B1854" s="18">
        <f t="shared" si="295"/>
        <v>147</v>
      </c>
      <c r="C1854" s="67"/>
      <c r="D1854" s="67"/>
      <c r="E1854" s="67"/>
      <c r="F1854" s="8"/>
      <c r="G1854" s="8"/>
      <c r="H1854" s="9" t="s">
        <v>366</v>
      </c>
      <c r="I1854" s="10">
        <v>1100</v>
      </c>
      <c r="J1854" s="10">
        <v>0</v>
      </c>
      <c r="K1854" s="361">
        <f t="shared" si="294"/>
        <v>0</v>
      </c>
      <c r="L1854" s="10"/>
      <c r="M1854" s="10"/>
      <c r="N1854" s="361"/>
      <c r="O1854" s="108">
        <f t="shared" si="296"/>
        <v>1100</v>
      </c>
      <c r="P1854" s="108">
        <f t="shared" si="297"/>
        <v>0</v>
      </c>
      <c r="Q1854" s="361">
        <f t="shared" si="298"/>
        <v>0</v>
      </c>
    </row>
    <row r="1855" spans="2:17" ht="15" x14ac:dyDescent="0.2">
      <c r="B1855" s="18">
        <f t="shared" si="295"/>
        <v>148</v>
      </c>
      <c r="C1855" s="82">
        <v>10</v>
      </c>
      <c r="D1855" s="495" t="s">
        <v>174</v>
      </c>
      <c r="E1855" s="496"/>
      <c r="F1855" s="496"/>
      <c r="G1855" s="496"/>
      <c r="H1855" s="496"/>
      <c r="I1855" s="83">
        <f>I1856</f>
        <v>31770</v>
      </c>
      <c r="J1855" s="83">
        <f>J1856</f>
        <v>31204</v>
      </c>
      <c r="K1855" s="361">
        <f t="shared" si="294"/>
        <v>98.21844507396915</v>
      </c>
      <c r="L1855" s="83">
        <f>L1856</f>
        <v>55300</v>
      </c>
      <c r="M1855" s="83">
        <f>M1856</f>
        <v>55267</v>
      </c>
      <c r="N1855" s="361">
        <f>M1855/L1855*100</f>
        <v>99.940325497287517</v>
      </c>
      <c r="O1855" s="99">
        <f t="shared" si="296"/>
        <v>87070</v>
      </c>
      <c r="P1855" s="99">
        <f t="shared" si="297"/>
        <v>86471</v>
      </c>
      <c r="Q1855" s="361">
        <f t="shared" si="298"/>
        <v>99.312047777650164</v>
      </c>
    </row>
    <row r="1856" spans="2:17" ht="15" x14ac:dyDescent="0.25">
      <c r="B1856" s="18">
        <f t="shared" si="295"/>
        <v>149</v>
      </c>
      <c r="C1856" s="176"/>
      <c r="D1856" s="176"/>
      <c r="E1856" s="176">
        <v>5</v>
      </c>
      <c r="F1856" s="177"/>
      <c r="G1856" s="177"/>
      <c r="H1856" s="176" t="s">
        <v>106</v>
      </c>
      <c r="I1856" s="178">
        <f>I1857+I1858+I1859+I1864</f>
        <v>31770</v>
      </c>
      <c r="J1856" s="178">
        <f>J1857+J1858+J1859+J1864</f>
        <v>31204</v>
      </c>
      <c r="K1856" s="361">
        <f t="shared" si="294"/>
        <v>98.21844507396915</v>
      </c>
      <c r="L1856" s="178">
        <f>L1865</f>
        <v>55300</v>
      </c>
      <c r="M1856" s="178">
        <f>M1865</f>
        <v>55267</v>
      </c>
      <c r="N1856" s="361">
        <f>M1856/L1856*100</f>
        <v>99.940325497287517</v>
      </c>
      <c r="O1856" s="179">
        <f t="shared" si="296"/>
        <v>87070</v>
      </c>
      <c r="P1856" s="179">
        <f t="shared" si="297"/>
        <v>86471</v>
      </c>
      <c r="Q1856" s="361">
        <f t="shared" si="298"/>
        <v>99.312047777650164</v>
      </c>
    </row>
    <row r="1857" spans="2:17" x14ac:dyDescent="0.2">
      <c r="B1857" s="18">
        <f t="shared" si="295"/>
        <v>150</v>
      </c>
      <c r="C1857" s="3"/>
      <c r="D1857" s="3"/>
      <c r="E1857" s="3"/>
      <c r="F1857" s="90" t="s">
        <v>76</v>
      </c>
      <c r="G1857" s="2">
        <v>610</v>
      </c>
      <c r="H1857" s="3" t="s">
        <v>131</v>
      </c>
      <c r="I1857" s="4">
        <f>11920+3486-2200+1000+2000</f>
        <v>16206</v>
      </c>
      <c r="J1857" s="4">
        <v>16201</v>
      </c>
      <c r="K1857" s="361">
        <f t="shared" si="294"/>
        <v>99.96914722942121</v>
      </c>
      <c r="L1857" s="4"/>
      <c r="M1857" s="4"/>
      <c r="N1857" s="361"/>
      <c r="O1857" s="92">
        <f t="shared" si="296"/>
        <v>16206</v>
      </c>
      <c r="P1857" s="92">
        <f t="shared" si="297"/>
        <v>16201</v>
      </c>
      <c r="Q1857" s="361">
        <f t="shared" si="298"/>
        <v>99.96914722942121</v>
      </c>
    </row>
    <row r="1858" spans="2:17" x14ac:dyDescent="0.2">
      <c r="B1858" s="18">
        <f t="shared" si="295"/>
        <v>151</v>
      </c>
      <c r="C1858" s="3"/>
      <c r="D1858" s="3"/>
      <c r="E1858" s="3"/>
      <c r="F1858" s="90" t="s">
        <v>76</v>
      </c>
      <c r="G1858" s="2">
        <v>620</v>
      </c>
      <c r="H1858" s="3" t="s">
        <v>124</v>
      </c>
      <c r="I1858" s="4">
        <f>1540+220+2200+125+465+155+735+1500</f>
        <v>6940</v>
      </c>
      <c r="J1858" s="4">
        <v>6935</v>
      </c>
      <c r="K1858" s="361">
        <f t="shared" si="294"/>
        <v>99.927953890489917</v>
      </c>
      <c r="L1858" s="4"/>
      <c r="M1858" s="4"/>
      <c r="N1858" s="361"/>
      <c r="O1858" s="92">
        <f t="shared" si="296"/>
        <v>6940</v>
      </c>
      <c r="P1858" s="92">
        <f t="shared" si="297"/>
        <v>6935</v>
      </c>
      <c r="Q1858" s="361">
        <f t="shared" si="298"/>
        <v>99.927953890489917</v>
      </c>
    </row>
    <row r="1859" spans="2:17" x14ac:dyDescent="0.2">
      <c r="B1859" s="18">
        <f t="shared" si="295"/>
        <v>152</v>
      </c>
      <c r="C1859" s="3"/>
      <c r="D1859" s="3"/>
      <c r="E1859" s="3"/>
      <c r="F1859" s="90" t="s">
        <v>76</v>
      </c>
      <c r="G1859" s="2">
        <v>630</v>
      </c>
      <c r="H1859" s="3" t="s">
        <v>121</v>
      </c>
      <c r="I1859" s="4">
        <f>I1863+I1862+I1861+I1860</f>
        <v>6214</v>
      </c>
      <c r="J1859" s="4">
        <f>J1863+J1862+J1861+J1860</f>
        <v>5868</v>
      </c>
      <c r="K1859" s="361">
        <f t="shared" si="294"/>
        <v>94.431927904731253</v>
      </c>
      <c r="L1859" s="4"/>
      <c r="M1859" s="4"/>
      <c r="N1859" s="361"/>
      <c r="O1859" s="92">
        <f t="shared" si="296"/>
        <v>6214</v>
      </c>
      <c r="P1859" s="92">
        <f t="shared" si="297"/>
        <v>5868</v>
      </c>
      <c r="Q1859" s="361">
        <f t="shared" si="298"/>
        <v>94.431927904731253</v>
      </c>
    </row>
    <row r="1860" spans="2:17" x14ac:dyDescent="0.2">
      <c r="B1860" s="18">
        <f t="shared" si="295"/>
        <v>153</v>
      </c>
      <c r="C1860" s="6"/>
      <c r="D1860" s="6"/>
      <c r="E1860" s="6"/>
      <c r="F1860" s="93"/>
      <c r="G1860" s="5">
        <v>632</v>
      </c>
      <c r="H1860" s="6" t="s">
        <v>134</v>
      </c>
      <c r="I1860" s="7">
        <f>20+25</f>
        <v>45</v>
      </c>
      <c r="J1860" s="7">
        <v>15</v>
      </c>
      <c r="K1860" s="361">
        <f t="shared" si="294"/>
        <v>33.333333333333329</v>
      </c>
      <c r="L1860" s="7"/>
      <c r="M1860" s="7"/>
      <c r="N1860" s="361"/>
      <c r="O1860" s="95">
        <f t="shared" si="296"/>
        <v>45</v>
      </c>
      <c r="P1860" s="95">
        <f t="shared" si="297"/>
        <v>15</v>
      </c>
      <c r="Q1860" s="361">
        <f t="shared" si="298"/>
        <v>33.333333333333329</v>
      </c>
    </row>
    <row r="1861" spans="2:17" x14ac:dyDescent="0.2">
      <c r="B1861" s="18">
        <f t="shared" si="295"/>
        <v>154</v>
      </c>
      <c r="C1861" s="6"/>
      <c r="D1861" s="6"/>
      <c r="E1861" s="6"/>
      <c r="F1861" s="93"/>
      <c r="G1861" s="5">
        <v>633</v>
      </c>
      <c r="H1861" s="6" t="s">
        <v>125</v>
      </c>
      <c r="I1861" s="7">
        <f>50+80</f>
        <v>130</v>
      </c>
      <c r="J1861" s="7">
        <v>74</v>
      </c>
      <c r="K1861" s="361">
        <f t="shared" si="294"/>
        <v>56.92307692307692</v>
      </c>
      <c r="L1861" s="7"/>
      <c r="M1861" s="7"/>
      <c r="N1861" s="361"/>
      <c r="O1861" s="95">
        <f t="shared" si="296"/>
        <v>130</v>
      </c>
      <c r="P1861" s="95">
        <f t="shared" si="297"/>
        <v>74</v>
      </c>
      <c r="Q1861" s="361">
        <f t="shared" si="298"/>
        <v>56.92307692307692</v>
      </c>
    </row>
    <row r="1862" spans="2:17" x14ac:dyDescent="0.2">
      <c r="B1862" s="18">
        <f t="shared" si="295"/>
        <v>155</v>
      </c>
      <c r="C1862" s="6"/>
      <c r="D1862" s="6"/>
      <c r="E1862" s="6"/>
      <c r="F1862" s="93"/>
      <c r="G1862" s="5">
        <v>634</v>
      </c>
      <c r="H1862" s="6" t="s">
        <v>132</v>
      </c>
      <c r="I1862" s="7">
        <f>2000+2000+320+120-261+500</f>
        <v>4679</v>
      </c>
      <c r="J1862" s="7">
        <v>4424</v>
      </c>
      <c r="K1862" s="361">
        <f t="shared" si="294"/>
        <v>94.550117546484287</v>
      </c>
      <c r="L1862" s="7"/>
      <c r="M1862" s="7"/>
      <c r="N1862" s="361"/>
      <c r="O1862" s="95">
        <f t="shared" si="296"/>
        <v>4679</v>
      </c>
      <c r="P1862" s="95">
        <f t="shared" si="297"/>
        <v>4424</v>
      </c>
      <c r="Q1862" s="361">
        <f t="shared" si="298"/>
        <v>94.550117546484287</v>
      </c>
    </row>
    <row r="1863" spans="2:17" x14ac:dyDescent="0.2">
      <c r="B1863" s="18">
        <f t="shared" si="295"/>
        <v>156</v>
      </c>
      <c r="C1863" s="6"/>
      <c r="D1863" s="6"/>
      <c r="E1863" s="6"/>
      <c r="F1863" s="93"/>
      <c r="G1863" s="5">
        <v>637</v>
      </c>
      <c r="H1863" s="6" t="s">
        <v>122</v>
      </c>
      <c r="I1863" s="7">
        <f>100+275+235+750</f>
        <v>1360</v>
      </c>
      <c r="J1863" s="7">
        <v>1355</v>
      </c>
      <c r="K1863" s="361">
        <f t="shared" si="294"/>
        <v>99.632352941176478</v>
      </c>
      <c r="L1863" s="7"/>
      <c r="M1863" s="7"/>
      <c r="N1863" s="361"/>
      <c r="O1863" s="95">
        <f t="shared" si="296"/>
        <v>1360</v>
      </c>
      <c r="P1863" s="95">
        <f t="shared" si="297"/>
        <v>1355</v>
      </c>
      <c r="Q1863" s="361">
        <f t="shared" si="298"/>
        <v>99.632352941176478</v>
      </c>
    </row>
    <row r="1864" spans="2:17" x14ac:dyDescent="0.2">
      <c r="B1864" s="18">
        <f t="shared" si="295"/>
        <v>157</v>
      </c>
      <c r="C1864" s="3"/>
      <c r="D1864" s="3"/>
      <c r="E1864" s="3"/>
      <c r="F1864" s="90" t="s">
        <v>76</v>
      </c>
      <c r="G1864" s="2">
        <v>640</v>
      </c>
      <c r="H1864" s="3" t="s">
        <v>129</v>
      </c>
      <c r="I1864" s="4">
        <f>760+200+2200-750</f>
        <v>2410</v>
      </c>
      <c r="J1864" s="4">
        <v>2200</v>
      </c>
      <c r="K1864" s="361">
        <f t="shared" si="294"/>
        <v>91.286307053941911</v>
      </c>
      <c r="L1864" s="4"/>
      <c r="M1864" s="4"/>
      <c r="N1864" s="361"/>
      <c r="O1864" s="92">
        <f t="shared" si="296"/>
        <v>2410</v>
      </c>
      <c r="P1864" s="92">
        <f t="shared" si="297"/>
        <v>2200</v>
      </c>
      <c r="Q1864" s="361">
        <f t="shared" si="298"/>
        <v>91.286307053941911</v>
      </c>
    </row>
    <row r="1865" spans="2:17" x14ac:dyDescent="0.2">
      <c r="B1865" s="18">
        <f t="shared" si="295"/>
        <v>158</v>
      </c>
      <c r="C1865" s="3"/>
      <c r="D1865" s="3"/>
      <c r="E1865" s="3"/>
      <c r="F1865" s="90" t="s">
        <v>76</v>
      </c>
      <c r="G1865" s="2">
        <v>710</v>
      </c>
      <c r="H1865" s="3" t="s">
        <v>175</v>
      </c>
      <c r="I1865" s="4"/>
      <c r="J1865" s="4"/>
      <c r="K1865" s="361"/>
      <c r="L1865" s="4">
        <f>L1866+L1868</f>
        <v>55300</v>
      </c>
      <c r="M1865" s="4">
        <f>M1866+M1868</f>
        <v>55267</v>
      </c>
      <c r="N1865" s="361">
        <f>M1865/L1865*100</f>
        <v>99.940325497287517</v>
      </c>
      <c r="O1865" s="92">
        <f t="shared" si="296"/>
        <v>55300</v>
      </c>
      <c r="P1865" s="92">
        <f t="shared" si="297"/>
        <v>55267</v>
      </c>
      <c r="Q1865" s="361">
        <f t="shared" si="298"/>
        <v>99.940325497287517</v>
      </c>
    </row>
    <row r="1866" spans="2:17" x14ac:dyDescent="0.2">
      <c r="B1866" s="18">
        <f t="shared" si="295"/>
        <v>159</v>
      </c>
      <c r="C1866" s="3"/>
      <c r="D1866" s="3"/>
      <c r="E1866" s="3"/>
      <c r="F1866" s="90"/>
      <c r="G1866" s="5">
        <v>713</v>
      </c>
      <c r="H1866" s="6" t="s">
        <v>218</v>
      </c>
      <c r="I1866" s="7"/>
      <c r="J1866" s="7"/>
      <c r="K1866" s="361"/>
      <c r="L1866" s="7">
        <f>L1867</f>
        <v>4900</v>
      </c>
      <c r="M1866" s="7">
        <f>M1867</f>
        <v>4867</v>
      </c>
      <c r="N1866" s="361">
        <f>M1866/L1866*100</f>
        <v>99.326530612244895</v>
      </c>
      <c r="O1866" s="95">
        <f t="shared" si="296"/>
        <v>4900</v>
      </c>
      <c r="P1866" s="95">
        <f t="shared" si="297"/>
        <v>4867</v>
      </c>
      <c r="Q1866" s="361">
        <f t="shared" si="298"/>
        <v>99.326530612244895</v>
      </c>
    </row>
    <row r="1867" spans="2:17" x14ac:dyDescent="0.2">
      <c r="B1867" s="18">
        <f t="shared" si="295"/>
        <v>160</v>
      </c>
      <c r="C1867" s="3"/>
      <c r="D1867" s="3"/>
      <c r="E1867" s="3"/>
      <c r="F1867" s="90"/>
      <c r="G1867" s="268"/>
      <c r="H1867" s="270" t="s">
        <v>577</v>
      </c>
      <c r="I1867" s="103"/>
      <c r="J1867" s="103"/>
      <c r="K1867" s="361"/>
      <c r="L1867" s="103">
        <f>6000-1100</f>
        <v>4900</v>
      </c>
      <c r="M1867" s="103">
        <v>4867</v>
      </c>
      <c r="N1867" s="361">
        <f>M1867/L1867*100</f>
        <v>99.326530612244895</v>
      </c>
      <c r="O1867" s="108">
        <f t="shared" si="296"/>
        <v>4900</v>
      </c>
      <c r="P1867" s="108">
        <f t="shared" si="297"/>
        <v>4867</v>
      </c>
      <c r="Q1867" s="361">
        <f t="shared" si="298"/>
        <v>99.326530612244895</v>
      </c>
    </row>
    <row r="1868" spans="2:17" x14ac:dyDescent="0.2">
      <c r="B1868" s="18">
        <f t="shared" si="295"/>
        <v>161</v>
      </c>
      <c r="C1868" s="3"/>
      <c r="D1868" s="3"/>
      <c r="E1868" s="3"/>
      <c r="F1868" s="90"/>
      <c r="G1868" s="5">
        <v>714</v>
      </c>
      <c r="H1868" s="6" t="s">
        <v>176</v>
      </c>
      <c r="I1868" s="7"/>
      <c r="J1868" s="7"/>
      <c r="K1868" s="361"/>
      <c r="L1868" s="7">
        <f>L1869</f>
        <v>50400</v>
      </c>
      <c r="M1868" s="7">
        <f>M1869</f>
        <v>50400</v>
      </c>
      <c r="N1868" s="361">
        <f>M1868/L1868*100</f>
        <v>100</v>
      </c>
      <c r="O1868" s="95">
        <f t="shared" si="296"/>
        <v>50400</v>
      </c>
      <c r="P1868" s="95">
        <f t="shared" si="297"/>
        <v>50400</v>
      </c>
      <c r="Q1868" s="361">
        <f t="shared" si="298"/>
        <v>100</v>
      </c>
    </row>
    <row r="1869" spans="2:17" x14ac:dyDescent="0.2">
      <c r="B1869" s="18">
        <f t="shared" si="295"/>
        <v>162</v>
      </c>
      <c r="C1869" s="3"/>
      <c r="D1869" s="3"/>
      <c r="E1869" s="3"/>
      <c r="F1869" s="90"/>
      <c r="G1869" s="268"/>
      <c r="H1869" s="270" t="s">
        <v>507</v>
      </c>
      <c r="I1869" s="103"/>
      <c r="J1869" s="103"/>
      <c r="K1869" s="361"/>
      <c r="L1869" s="103">
        <f>55000-4600</f>
        <v>50400</v>
      </c>
      <c r="M1869" s="103">
        <v>50400</v>
      </c>
      <c r="N1869" s="361">
        <f>M1869/L1869*100</f>
        <v>100</v>
      </c>
      <c r="O1869" s="108">
        <f>L1869</f>
        <v>50400</v>
      </c>
      <c r="P1869" s="108">
        <f>M1869</f>
        <v>50400</v>
      </c>
      <c r="Q1869" s="361">
        <f t="shared" si="298"/>
        <v>100</v>
      </c>
    </row>
    <row r="1870" spans="2:17" ht="15" x14ac:dyDescent="0.2">
      <c r="B1870" s="18">
        <f t="shared" si="295"/>
        <v>163</v>
      </c>
      <c r="C1870" s="82">
        <v>11</v>
      </c>
      <c r="D1870" s="495" t="s">
        <v>72</v>
      </c>
      <c r="E1870" s="496"/>
      <c r="F1870" s="496"/>
      <c r="G1870" s="496"/>
      <c r="H1870" s="496"/>
      <c r="I1870" s="83">
        <f>I1871</f>
        <v>266130</v>
      </c>
      <c r="J1870" s="83">
        <f>J1871</f>
        <v>250583</v>
      </c>
      <c r="K1870" s="361">
        <f t="shared" ref="K1870:K1881" si="299">J1870/I1870*100</f>
        <v>94.15811821290346</v>
      </c>
      <c r="L1870" s="83"/>
      <c r="M1870" s="83"/>
      <c r="N1870" s="361"/>
      <c r="O1870" s="99">
        <f t="shared" ref="O1870:O1882" si="300">I1870+L1870</f>
        <v>266130</v>
      </c>
      <c r="P1870" s="99">
        <f t="shared" ref="P1870:P1882" si="301">J1870+M1870</f>
        <v>250583</v>
      </c>
      <c r="Q1870" s="361">
        <f t="shared" si="298"/>
        <v>94.15811821290346</v>
      </c>
    </row>
    <row r="1871" spans="2:17" ht="15" x14ac:dyDescent="0.25">
      <c r="B1871" s="18">
        <f t="shared" ref="B1871:B1882" si="302">B1870+1</f>
        <v>164</v>
      </c>
      <c r="C1871" s="176"/>
      <c r="D1871" s="176"/>
      <c r="E1871" s="176">
        <v>5</v>
      </c>
      <c r="F1871" s="177"/>
      <c r="G1871" s="177"/>
      <c r="H1871" s="176" t="s">
        <v>106</v>
      </c>
      <c r="I1871" s="178">
        <f>I1872+I1873+I1874+I1881</f>
        <v>266130</v>
      </c>
      <c r="J1871" s="178">
        <f>J1872+J1873+J1874+J1881</f>
        <v>250583</v>
      </c>
      <c r="K1871" s="361">
        <f t="shared" si="299"/>
        <v>94.15811821290346</v>
      </c>
      <c r="L1871" s="178"/>
      <c r="M1871" s="178"/>
      <c r="N1871" s="361"/>
      <c r="O1871" s="179">
        <f t="shared" si="300"/>
        <v>266130</v>
      </c>
      <c r="P1871" s="179">
        <f t="shared" si="301"/>
        <v>250583</v>
      </c>
      <c r="Q1871" s="361">
        <f t="shared" si="298"/>
        <v>94.15811821290346</v>
      </c>
    </row>
    <row r="1872" spans="2:17" x14ac:dyDescent="0.2">
      <c r="B1872" s="18">
        <f t="shared" si="302"/>
        <v>165</v>
      </c>
      <c r="C1872" s="3"/>
      <c r="D1872" s="3"/>
      <c r="E1872" s="3"/>
      <c r="F1872" s="90" t="s">
        <v>61</v>
      </c>
      <c r="G1872" s="2">
        <v>610</v>
      </c>
      <c r="H1872" s="3" t="s">
        <v>131</v>
      </c>
      <c r="I1872" s="4">
        <f>114890+43600+7855+1875</f>
        <v>168220</v>
      </c>
      <c r="J1872" s="4">
        <v>157514</v>
      </c>
      <c r="K1872" s="361">
        <f t="shared" si="299"/>
        <v>93.63571513494233</v>
      </c>
      <c r="L1872" s="4"/>
      <c r="M1872" s="4"/>
      <c r="N1872" s="361"/>
      <c r="O1872" s="92">
        <f t="shared" si="300"/>
        <v>168220</v>
      </c>
      <c r="P1872" s="92">
        <f t="shared" si="301"/>
        <v>157514</v>
      </c>
      <c r="Q1872" s="361">
        <f t="shared" si="298"/>
        <v>93.63571513494233</v>
      </c>
    </row>
    <row r="1873" spans="2:17" x14ac:dyDescent="0.2">
      <c r="B1873" s="18">
        <f t="shared" si="302"/>
        <v>166</v>
      </c>
      <c r="C1873" s="3"/>
      <c r="D1873" s="3"/>
      <c r="E1873" s="3"/>
      <c r="F1873" s="90" t="s">
        <v>61</v>
      </c>
      <c r="G1873" s="2">
        <v>620</v>
      </c>
      <c r="H1873" s="3" t="s">
        <v>124</v>
      </c>
      <c r="I1873" s="4">
        <f>12680+1835+2130+2330+23300+1330+4990+1665+7900+5000</f>
        <v>63160</v>
      </c>
      <c r="J1873" s="4">
        <v>61229</v>
      </c>
      <c r="K1873" s="361">
        <f t="shared" si="299"/>
        <v>96.94268524382521</v>
      </c>
      <c r="L1873" s="4"/>
      <c r="M1873" s="4"/>
      <c r="N1873" s="361"/>
      <c r="O1873" s="92">
        <f t="shared" si="300"/>
        <v>63160</v>
      </c>
      <c r="P1873" s="92">
        <f t="shared" si="301"/>
        <v>61229</v>
      </c>
      <c r="Q1873" s="361">
        <f t="shared" ref="Q1873:Q1881" si="303">P1873/O1873*100</f>
        <v>96.94268524382521</v>
      </c>
    </row>
    <row r="1874" spans="2:17" x14ac:dyDescent="0.2">
      <c r="B1874" s="18">
        <f t="shared" si="302"/>
        <v>167</v>
      </c>
      <c r="C1874" s="3"/>
      <c r="D1874" s="3"/>
      <c r="E1874" s="3"/>
      <c r="F1874" s="90" t="s">
        <v>61</v>
      </c>
      <c r="G1874" s="2">
        <v>630</v>
      </c>
      <c r="H1874" s="3" t="s">
        <v>121</v>
      </c>
      <c r="I1874" s="4">
        <f>I1880+I1879+I1878+I1877+I1876+I1875</f>
        <v>29150</v>
      </c>
      <c r="J1874" s="4">
        <f>J1880+J1879+J1878+J1877+J1876+J1875</f>
        <v>27164</v>
      </c>
      <c r="K1874" s="361">
        <f t="shared" si="299"/>
        <v>93.186963979416817</v>
      </c>
      <c r="L1874" s="4"/>
      <c r="M1874" s="4"/>
      <c r="N1874" s="361"/>
      <c r="O1874" s="92">
        <f t="shared" si="300"/>
        <v>29150</v>
      </c>
      <c r="P1874" s="92">
        <f t="shared" si="301"/>
        <v>27164</v>
      </c>
      <c r="Q1874" s="361">
        <f t="shared" si="303"/>
        <v>93.186963979416817</v>
      </c>
    </row>
    <row r="1875" spans="2:17" x14ac:dyDescent="0.2">
      <c r="B1875" s="18">
        <f t="shared" si="302"/>
        <v>168</v>
      </c>
      <c r="C1875" s="6"/>
      <c r="D1875" s="6"/>
      <c r="E1875" s="6"/>
      <c r="F1875" s="93"/>
      <c r="G1875" s="5">
        <v>631</v>
      </c>
      <c r="H1875" s="6" t="s">
        <v>127</v>
      </c>
      <c r="I1875" s="7">
        <f>200-150</f>
        <v>50</v>
      </c>
      <c r="J1875" s="7">
        <v>0</v>
      </c>
      <c r="K1875" s="361">
        <f t="shared" si="299"/>
        <v>0</v>
      </c>
      <c r="L1875" s="7"/>
      <c r="M1875" s="7"/>
      <c r="N1875" s="361"/>
      <c r="O1875" s="95">
        <f t="shared" si="300"/>
        <v>50</v>
      </c>
      <c r="P1875" s="95">
        <f t="shared" si="301"/>
        <v>0</v>
      </c>
      <c r="Q1875" s="361">
        <f t="shared" si="303"/>
        <v>0</v>
      </c>
    </row>
    <row r="1876" spans="2:17" x14ac:dyDescent="0.2">
      <c r="B1876" s="18">
        <f t="shared" si="302"/>
        <v>169</v>
      </c>
      <c r="C1876" s="6"/>
      <c r="D1876" s="6"/>
      <c r="E1876" s="6"/>
      <c r="F1876" s="93"/>
      <c r="G1876" s="5">
        <v>632</v>
      </c>
      <c r="H1876" s="6" t="s">
        <v>134</v>
      </c>
      <c r="I1876" s="7">
        <v>1800</v>
      </c>
      <c r="J1876" s="7">
        <v>1587</v>
      </c>
      <c r="K1876" s="361">
        <f t="shared" si="299"/>
        <v>88.166666666666671</v>
      </c>
      <c r="L1876" s="7"/>
      <c r="M1876" s="7"/>
      <c r="N1876" s="361"/>
      <c r="O1876" s="95">
        <f t="shared" si="300"/>
        <v>1800</v>
      </c>
      <c r="P1876" s="95">
        <f t="shared" si="301"/>
        <v>1587</v>
      </c>
      <c r="Q1876" s="361">
        <f t="shared" si="303"/>
        <v>88.166666666666671</v>
      </c>
    </row>
    <row r="1877" spans="2:17" x14ac:dyDescent="0.2">
      <c r="B1877" s="18">
        <f t="shared" si="302"/>
        <v>170</v>
      </c>
      <c r="C1877" s="6"/>
      <c r="D1877" s="6"/>
      <c r="E1877" s="6"/>
      <c r="F1877" s="93"/>
      <c r="G1877" s="5">
        <v>633</v>
      </c>
      <c r="H1877" s="6" t="s">
        <v>125</v>
      </c>
      <c r="I1877" s="7">
        <v>2600</v>
      </c>
      <c r="J1877" s="7">
        <v>2563</v>
      </c>
      <c r="K1877" s="361">
        <f t="shared" si="299"/>
        <v>98.576923076923066</v>
      </c>
      <c r="L1877" s="7"/>
      <c r="M1877" s="7"/>
      <c r="N1877" s="361"/>
      <c r="O1877" s="95">
        <f t="shared" si="300"/>
        <v>2600</v>
      </c>
      <c r="P1877" s="95">
        <f t="shared" si="301"/>
        <v>2563</v>
      </c>
      <c r="Q1877" s="361">
        <f t="shared" si="303"/>
        <v>98.576923076923066</v>
      </c>
    </row>
    <row r="1878" spans="2:17" x14ac:dyDescent="0.2">
      <c r="B1878" s="18">
        <f t="shared" si="302"/>
        <v>171</v>
      </c>
      <c r="C1878" s="6"/>
      <c r="D1878" s="6"/>
      <c r="E1878" s="6"/>
      <c r="F1878" s="93"/>
      <c r="G1878" s="5">
        <v>634</v>
      </c>
      <c r="H1878" s="6" t="s">
        <v>132</v>
      </c>
      <c r="I1878" s="7">
        <f>1000+700</f>
        <v>1700</v>
      </c>
      <c r="J1878" s="7">
        <v>1293</v>
      </c>
      <c r="K1878" s="361">
        <f t="shared" si="299"/>
        <v>76.058823529411768</v>
      </c>
      <c r="L1878" s="7"/>
      <c r="M1878" s="7"/>
      <c r="N1878" s="361"/>
      <c r="O1878" s="95">
        <f t="shared" si="300"/>
        <v>1700</v>
      </c>
      <c r="P1878" s="95">
        <f t="shared" si="301"/>
        <v>1293</v>
      </c>
      <c r="Q1878" s="361">
        <f t="shared" si="303"/>
        <v>76.058823529411768</v>
      </c>
    </row>
    <row r="1879" spans="2:17" x14ac:dyDescent="0.2">
      <c r="B1879" s="18">
        <f t="shared" si="302"/>
        <v>172</v>
      </c>
      <c r="C1879" s="6"/>
      <c r="D1879" s="6"/>
      <c r="E1879" s="6"/>
      <c r="F1879" s="93"/>
      <c r="G1879" s="5">
        <v>635</v>
      </c>
      <c r="H1879" s="6" t="s">
        <v>133</v>
      </c>
      <c r="I1879" s="7">
        <v>500</v>
      </c>
      <c r="J1879" s="7">
        <v>0</v>
      </c>
      <c r="K1879" s="361">
        <f t="shared" si="299"/>
        <v>0</v>
      </c>
      <c r="L1879" s="7"/>
      <c r="M1879" s="7"/>
      <c r="N1879" s="361"/>
      <c r="O1879" s="95">
        <f t="shared" si="300"/>
        <v>500</v>
      </c>
      <c r="P1879" s="95">
        <f t="shared" si="301"/>
        <v>0</v>
      </c>
      <c r="Q1879" s="361">
        <f t="shared" si="303"/>
        <v>0</v>
      </c>
    </row>
    <row r="1880" spans="2:17" x14ac:dyDescent="0.2">
      <c r="B1880" s="18">
        <f t="shared" si="302"/>
        <v>173</v>
      </c>
      <c r="C1880" s="6"/>
      <c r="D1880" s="6"/>
      <c r="E1880" s="6"/>
      <c r="F1880" s="93"/>
      <c r="G1880" s="5">
        <v>637</v>
      </c>
      <c r="H1880" s="6" t="s">
        <v>122</v>
      </c>
      <c r="I1880" s="7">
        <v>22500</v>
      </c>
      <c r="J1880" s="7">
        <f>20896+825</f>
        <v>21721</v>
      </c>
      <c r="K1880" s="361">
        <f t="shared" si="299"/>
        <v>96.537777777777777</v>
      </c>
      <c r="L1880" s="7"/>
      <c r="M1880" s="7"/>
      <c r="N1880" s="361"/>
      <c r="O1880" s="95">
        <f t="shared" si="300"/>
        <v>22500</v>
      </c>
      <c r="P1880" s="95">
        <f t="shared" si="301"/>
        <v>21721</v>
      </c>
      <c r="Q1880" s="361">
        <f t="shared" si="303"/>
        <v>96.537777777777777</v>
      </c>
    </row>
    <row r="1881" spans="2:17" x14ac:dyDescent="0.2">
      <c r="B1881" s="18">
        <f t="shared" si="302"/>
        <v>174</v>
      </c>
      <c r="C1881" s="272"/>
      <c r="D1881" s="272"/>
      <c r="E1881" s="272"/>
      <c r="F1881" s="273" t="s">
        <v>61</v>
      </c>
      <c r="G1881" s="274">
        <v>640</v>
      </c>
      <c r="H1881" s="272" t="s">
        <v>129</v>
      </c>
      <c r="I1881" s="275">
        <f>4550+1050</f>
        <v>5600</v>
      </c>
      <c r="J1881" s="275">
        <v>4676</v>
      </c>
      <c r="K1881" s="361">
        <f t="shared" si="299"/>
        <v>83.5</v>
      </c>
      <c r="L1881" s="275"/>
      <c r="M1881" s="275"/>
      <c r="N1881" s="361"/>
      <c r="O1881" s="208">
        <f t="shared" si="300"/>
        <v>5600</v>
      </c>
      <c r="P1881" s="208">
        <f t="shared" si="301"/>
        <v>4676</v>
      </c>
      <c r="Q1881" s="361">
        <f t="shared" si="303"/>
        <v>83.5</v>
      </c>
    </row>
    <row r="1882" spans="2:17" ht="15" x14ac:dyDescent="0.2">
      <c r="B1882" s="18">
        <f t="shared" si="302"/>
        <v>175</v>
      </c>
      <c r="C1882" s="276">
        <v>12</v>
      </c>
      <c r="D1882" s="522" t="s">
        <v>415</v>
      </c>
      <c r="E1882" s="523"/>
      <c r="F1882" s="523"/>
      <c r="G1882" s="523"/>
      <c r="H1882" s="523"/>
      <c r="I1882" s="277">
        <v>0</v>
      </c>
      <c r="J1882" s="277">
        <v>0</v>
      </c>
      <c r="K1882" s="361"/>
      <c r="L1882" s="277"/>
      <c r="M1882" s="277"/>
      <c r="N1882" s="361"/>
      <c r="O1882" s="228">
        <f t="shared" si="300"/>
        <v>0</v>
      </c>
      <c r="P1882" s="228">
        <f t="shared" si="301"/>
        <v>0</v>
      </c>
      <c r="Q1882" s="361"/>
    </row>
    <row r="1883" spans="2:17" x14ac:dyDescent="0.2">
      <c r="B1883" s="1"/>
      <c r="F1883" s="1"/>
      <c r="G1883" s="1"/>
      <c r="I1883" s="1"/>
      <c r="J1883" s="1"/>
      <c r="K1883" s="1"/>
      <c r="L1883" s="1"/>
      <c r="M1883" s="1"/>
      <c r="N1883" s="1"/>
      <c r="O1883" s="1"/>
    </row>
    <row r="1884" spans="2:17" x14ac:dyDescent="0.2">
      <c r="B1884" s="1"/>
      <c r="F1884" s="1"/>
      <c r="G1884" s="1"/>
      <c r="I1884" s="1"/>
      <c r="J1884" s="1"/>
      <c r="K1884" s="1"/>
      <c r="L1884" s="1"/>
      <c r="M1884" s="1"/>
      <c r="N1884" s="1"/>
      <c r="O1884" s="1"/>
    </row>
    <row r="1885" spans="2:17" x14ac:dyDescent="0.2">
      <c r="B1885" s="1"/>
      <c r="F1885" s="1"/>
      <c r="G1885" s="1"/>
      <c r="I1885" s="1"/>
      <c r="J1885" s="1"/>
      <c r="K1885" s="1"/>
      <c r="L1885" s="1"/>
      <c r="M1885" s="1"/>
      <c r="N1885" s="1"/>
      <c r="O1885" s="1"/>
    </row>
    <row r="1886" spans="2:17" x14ac:dyDescent="0.2">
      <c r="B1886" s="1"/>
      <c r="F1886" s="1"/>
      <c r="G1886" s="1"/>
      <c r="I1886" s="1"/>
      <c r="J1886" s="1"/>
      <c r="K1886" s="1"/>
      <c r="L1886" s="1"/>
      <c r="M1886" s="1"/>
      <c r="N1886" s="1"/>
      <c r="O1886" s="1"/>
    </row>
    <row r="1887" spans="2:17" x14ac:dyDescent="0.2">
      <c r="B1887" s="1"/>
      <c r="F1887" s="1"/>
      <c r="G1887" s="1"/>
      <c r="I1887" s="1"/>
      <c r="J1887" s="1"/>
      <c r="K1887" s="1"/>
      <c r="L1887" s="1"/>
      <c r="M1887" s="1"/>
      <c r="N1887" s="1"/>
      <c r="O1887" s="1"/>
    </row>
    <row r="1888" spans="2:17" x14ac:dyDescent="0.2">
      <c r="B1888" s="1"/>
      <c r="F1888" s="1"/>
      <c r="G1888" s="1"/>
      <c r="I1888" s="1"/>
      <c r="J1888" s="1"/>
      <c r="K1888" s="1"/>
      <c r="L1888" s="1"/>
      <c r="M1888" s="1"/>
      <c r="N1888" s="1"/>
      <c r="O1888" s="1"/>
    </row>
    <row r="1889" spans="2:17" x14ac:dyDescent="0.2">
      <c r="B1889" s="1"/>
      <c r="F1889" s="1"/>
      <c r="G1889" s="1"/>
      <c r="I1889" s="1"/>
      <c r="J1889" s="1"/>
      <c r="K1889" s="1"/>
      <c r="L1889" s="1"/>
      <c r="M1889" s="1"/>
      <c r="N1889" s="1"/>
      <c r="O1889" s="1"/>
    </row>
    <row r="1890" spans="2:17" x14ac:dyDescent="0.2">
      <c r="B1890" s="1"/>
      <c r="F1890" s="1"/>
      <c r="G1890" s="1"/>
      <c r="I1890" s="1"/>
      <c r="J1890" s="1"/>
      <c r="K1890" s="1"/>
      <c r="L1890" s="1"/>
      <c r="M1890" s="1"/>
      <c r="N1890" s="1"/>
      <c r="O1890" s="1"/>
    </row>
    <row r="1891" spans="2:17" x14ac:dyDescent="0.2">
      <c r="B1891" s="1"/>
      <c r="F1891" s="1"/>
      <c r="G1891" s="1"/>
      <c r="I1891" s="1"/>
      <c r="J1891" s="1"/>
      <c r="K1891" s="1"/>
      <c r="L1891" s="1"/>
      <c r="M1891" s="1"/>
      <c r="N1891" s="1"/>
      <c r="O1891" s="1"/>
    </row>
    <row r="1892" spans="2:17" x14ac:dyDescent="0.2">
      <c r="B1892" s="1"/>
      <c r="F1892" s="1"/>
      <c r="G1892" s="1"/>
      <c r="I1892" s="1"/>
      <c r="J1892" s="1"/>
      <c r="K1892" s="1"/>
      <c r="L1892" s="1"/>
      <c r="M1892" s="1"/>
      <c r="N1892" s="1"/>
      <c r="O1892" s="1"/>
    </row>
    <row r="1893" spans="2:17" ht="27.75" x14ac:dyDescent="0.4">
      <c r="B1893" s="499" t="s">
        <v>24</v>
      </c>
      <c r="C1893" s="500"/>
      <c r="D1893" s="500"/>
      <c r="E1893" s="500"/>
      <c r="F1893" s="500"/>
      <c r="G1893" s="500"/>
      <c r="H1893" s="500"/>
      <c r="I1893" s="500"/>
      <c r="J1893" s="500"/>
      <c r="K1893" s="500"/>
      <c r="L1893" s="500"/>
      <c r="M1893" s="500"/>
      <c r="N1893" s="500"/>
      <c r="O1893" s="500"/>
    </row>
    <row r="1894" spans="2:17" ht="15" customHeight="1" x14ac:dyDescent="0.35">
      <c r="B1894" s="509" t="s">
        <v>418</v>
      </c>
      <c r="C1894" s="510"/>
      <c r="D1894" s="510"/>
      <c r="E1894" s="510"/>
      <c r="F1894" s="510"/>
      <c r="G1894" s="510"/>
      <c r="H1894" s="510"/>
      <c r="I1894" s="510"/>
      <c r="J1894" s="510"/>
      <c r="K1894" s="511"/>
      <c r="L1894" s="510"/>
      <c r="M1894" s="510"/>
      <c r="N1894" s="511"/>
      <c r="O1894" s="501" t="s">
        <v>741</v>
      </c>
      <c r="P1894" s="512" t="s">
        <v>739</v>
      </c>
      <c r="Q1894" s="514" t="s">
        <v>738</v>
      </c>
    </row>
    <row r="1895" spans="2:17" ht="12.75" customHeight="1" x14ac:dyDescent="0.2">
      <c r="B1895" s="503"/>
      <c r="C1895" s="504" t="s">
        <v>114</v>
      </c>
      <c r="D1895" s="504" t="s">
        <v>115</v>
      </c>
      <c r="E1895" s="504"/>
      <c r="F1895" s="504" t="s">
        <v>116</v>
      </c>
      <c r="G1895" s="506" t="s">
        <v>117</v>
      </c>
      <c r="H1895" s="507" t="s">
        <v>118</v>
      </c>
      <c r="I1895" s="508" t="s">
        <v>742</v>
      </c>
      <c r="J1895" s="508" t="s">
        <v>744</v>
      </c>
      <c r="K1895" s="517" t="s">
        <v>738</v>
      </c>
      <c r="L1895" s="505" t="s">
        <v>743</v>
      </c>
      <c r="M1895" s="508" t="s">
        <v>745</v>
      </c>
      <c r="N1895" s="520" t="s">
        <v>738</v>
      </c>
      <c r="O1895" s="502"/>
      <c r="P1895" s="513"/>
      <c r="Q1895" s="515"/>
    </row>
    <row r="1896" spans="2:17" ht="12.75" customHeight="1" x14ac:dyDescent="0.2">
      <c r="B1896" s="503"/>
      <c r="C1896" s="504"/>
      <c r="D1896" s="504"/>
      <c r="E1896" s="504"/>
      <c r="F1896" s="504"/>
      <c r="G1896" s="506"/>
      <c r="H1896" s="507"/>
      <c r="I1896" s="508"/>
      <c r="J1896" s="508"/>
      <c r="K1896" s="518"/>
      <c r="L1896" s="505"/>
      <c r="M1896" s="508"/>
      <c r="N1896" s="521"/>
      <c r="O1896" s="502"/>
      <c r="P1896" s="513"/>
      <c r="Q1896" s="515"/>
    </row>
    <row r="1897" spans="2:17" ht="12.75" customHeight="1" x14ac:dyDescent="0.2">
      <c r="B1897" s="503"/>
      <c r="C1897" s="504"/>
      <c r="D1897" s="504"/>
      <c r="E1897" s="504"/>
      <c r="F1897" s="504"/>
      <c r="G1897" s="506"/>
      <c r="H1897" s="507"/>
      <c r="I1897" s="508"/>
      <c r="J1897" s="508"/>
      <c r="K1897" s="518"/>
      <c r="L1897" s="505"/>
      <c r="M1897" s="508"/>
      <c r="N1897" s="521"/>
      <c r="O1897" s="502"/>
      <c r="P1897" s="513"/>
      <c r="Q1897" s="515"/>
    </row>
    <row r="1898" spans="2:17" ht="13.5" customHeight="1" x14ac:dyDescent="0.2">
      <c r="B1898" s="503"/>
      <c r="C1898" s="504"/>
      <c r="D1898" s="504"/>
      <c r="E1898" s="504"/>
      <c r="F1898" s="504"/>
      <c r="G1898" s="506"/>
      <c r="H1898" s="507"/>
      <c r="I1898" s="508"/>
      <c r="J1898" s="508"/>
      <c r="K1898" s="519"/>
      <c r="L1898" s="505"/>
      <c r="M1898" s="508"/>
      <c r="N1898" s="521"/>
      <c r="O1898" s="502"/>
      <c r="P1898" s="513"/>
      <c r="Q1898" s="516"/>
    </row>
    <row r="1899" spans="2:17" ht="12.75" customHeight="1" x14ac:dyDescent="0.2">
      <c r="B1899" s="18">
        <v>1</v>
      </c>
      <c r="C1899" s="493" t="s">
        <v>24</v>
      </c>
      <c r="D1899" s="494"/>
      <c r="E1899" s="494"/>
      <c r="F1899" s="494"/>
      <c r="G1899" s="494"/>
      <c r="H1899" s="494"/>
      <c r="I1899" s="80">
        <f>I1900</f>
        <v>396960</v>
      </c>
      <c r="J1899" s="80">
        <f>J1900</f>
        <v>342719</v>
      </c>
      <c r="K1899" s="361">
        <f t="shared" ref="K1899:K1907" si="304">J1899/I1899*100</f>
        <v>86.33590286174929</v>
      </c>
      <c r="L1899" s="80">
        <f>L1900</f>
        <v>1650</v>
      </c>
      <c r="M1899" s="80">
        <f>M1900</f>
        <v>1636</v>
      </c>
      <c r="N1899" s="361">
        <f>M1899/L1899*100</f>
        <v>99.151515151515142</v>
      </c>
      <c r="O1899" s="81">
        <f t="shared" ref="O1899:O1919" si="305">I1899+L1899</f>
        <v>398610</v>
      </c>
      <c r="P1899" s="81">
        <f t="shared" ref="P1899:P1919" si="306">J1899+M1899</f>
        <v>344355</v>
      </c>
      <c r="Q1899" s="361">
        <f t="shared" ref="Q1899:Q1910" si="307">P1899/O1899*100</f>
        <v>86.388951606833757</v>
      </c>
    </row>
    <row r="1900" spans="2:17" ht="15" x14ac:dyDescent="0.2">
      <c r="B1900" s="18">
        <f t="shared" ref="B1900:B1919" si="308">B1899+1</f>
        <v>2</v>
      </c>
      <c r="C1900" s="82">
        <v>1</v>
      </c>
      <c r="D1900" s="495" t="s">
        <v>155</v>
      </c>
      <c r="E1900" s="496"/>
      <c r="F1900" s="496"/>
      <c r="G1900" s="496"/>
      <c r="H1900" s="496"/>
      <c r="I1900" s="83">
        <f>I1901+I1912</f>
        <v>396960</v>
      </c>
      <c r="J1900" s="83">
        <f>J1901+J1912</f>
        <v>342719</v>
      </c>
      <c r="K1900" s="361">
        <f t="shared" si="304"/>
        <v>86.33590286174929</v>
      </c>
      <c r="L1900" s="83">
        <f>L1901+L1912</f>
        <v>1650</v>
      </c>
      <c r="M1900" s="83">
        <f>M1901+M1912</f>
        <v>1636</v>
      </c>
      <c r="N1900" s="361">
        <f>M1900/L1900*100</f>
        <v>99.151515151515142</v>
      </c>
      <c r="O1900" s="99">
        <f t="shared" si="305"/>
        <v>398610</v>
      </c>
      <c r="P1900" s="99">
        <f t="shared" si="306"/>
        <v>344355</v>
      </c>
      <c r="Q1900" s="361">
        <f t="shared" si="307"/>
        <v>86.388951606833757</v>
      </c>
    </row>
    <row r="1901" spans="2:17" ht="15" x14ac:dyDescent="0.25">
      <c r="B1901" s="18">
        <f t="shared" si="308"/>
        <v>3</v>
      </c>
      <c r="C1901" s="96"/>
      <c r="D1901" s="96">
        <v>1</v>
      </c>
      <c r="E1901" s="497" t="s">
        <v>154</v>
      </c>
      <c r="F1901" s="498"/>
      <c r="G1901" s="498"/>
      <c r="H1901" s="498"/>
      <c r="I1901" s="97">
        <f>I1902+I1906</f>
        <v>342750</v>
      </c>
      <c r="J1901" s="97">
        <f>J1902+J1906</f>
        <v>292647</v>
      </c>
      <c r="K1901" s="361">
        <f t="shared" si="304"/>
        <v>85.382056892778991</v>
      </c>
      <c r="L1901" s="97">
        <f>L1908</f>
        <v>1650</v>
      </c>
      <c r="M1901" s="97">
        <f>M1908</f>
        <v>1636</v>
      </c>
      <c r="N1901" s="361">
        <f>M1901/L1901*100</f>
        <v>99.151515151515142</v>
      </c>
      <c r="O1901" s="98">
        <f t="shared" si="305"/>
        <v>344400</v>
      </c>
      <c r="P1901" s="98">
        <f t="shared" si="306"/>
        <v>294283</v>
      </c>
      <c r="Q1901" s="361">
        <f t="shared" si="307"/>
        <v>85.448025551684097</v>
      </c>
    </row>
    <row r="1902" spans="2:17" x14ac:dyDescent="0.2">
      <c r="B1902" s="18">
        <f t="shared" si="308"/>
        <v>4</v>
      </c>
      <c r="C1902" s="3"/>
      <c r="D1902" s="3"/>
      <c r="E1902" s="3"/>
      <c r="F1902" s="90" t="s">
        <v>153</v>
      </c>
      <c r="G1902" s="2">
        <v>630</v>
      </c>
      <c r="H1902" s="3" t="s">
        <v>121</v>
      </c>
      <c r="I1902" s="4">
        <f>SUM(I1903:I1905)</f>
        <v>262250</v>
      </c>
      <c r="J1902" s="4">
        <f>SUM(J1903:J1905)</f>
        <v>211976</v>
      </c>
      <c r="K1902" s="361">
        <f t="shared" si="304"/>
        <v>80.82974261201143</v>
      </c>
      <c r="L1902" s="4"/>
      <c r="M1902" s="4"/>
      <c r="N1902" s="361"/>
      <c r="O1902" s="92">
        <f t="shared" si="305"/>
        <v>262250</v>
      </c>
      <c r="P1902" s="92">
        <f t="shared" si="306"/>
        <v>211976</v>
      </c>
      <c r="Q1902" s="361">
        <f t="shared" si="307"/>
        <v>80.82974261201143</v>
      </c>
    </row>
    <row r="1903" spans="2:17" x14ac:dyDescent="0.2">
      <c r="B1903" s="18">
        <f t="shared" si="308"/>
        <v>5</v>
      </c>
      <c r="C1903" s="6"/>
      <c r="D1903" s="6"/>
      <c r="E1903" s="6"/>
      <c r="F1903" s="93"/>
      <c r="G1903" s="5">
        <v>635</v>
      </c>
      <c r="H1903" s="6" t="s">
        <v>133</v>
      </c>
      <c r="I1903" s="7">
        <f>10000-6000+1000</f>
        <v>5000</v>
      </c>
      <c r="J1903" s="7">
        <v>4937</v>
      </c>
      <c r="K1903" s="361">
        <f t="shared" si="304"/>
        <v>98.740000000000009</v>
      </c>
      <c r="L1903" s="7"/>
      <c r="M1903" s="7"/>
      <c r="N1903" s="361"/>
      <c r="O1903" s="95">
        <f t="shared" si="305"/>
        <v>5000</v>
      </c>
      <c r="P1903" s="95">
        <f t="shared" si="306"/>
        <v>4937</v>
      </c>
      <c r="Q1903" s="361">
        <f t="shared" si="307"/>
        <v>98.740000000000009</v>
      </c>
    </row>
    <row r="1904" spans="2:17" x14ac:dyDescent="0.2">
      <c r="B1904" s="18">
        <f t="shared" si="308"/>
        <v>6</v>
      </c>
      <c r="C1904" s="6"/>
      <c r="D1904" s="6"/>
      <c r="E1904" s="6"/>
      <c r="F1904" s="93"/>
      <c r="G1904" s="5">
        <v>636</v>
      </c>
      <c r="H1904" s="6" t="s">
        <v>126</v>
      </c>
      <c r="I1904" s="7">
        <f>9000+600-8000</f>
        <v>1600</v>
      </c>
      <c r="J1904" s="7">
        <v>0</v>
      </c>
      <c r="K1904" s="361">
        <f t="shared" si="304"/>
        <v>0</v>
      </c>
      <c r="L1904" s="7"/>
      <c r="M1904" s="7"/>
      <c r="N1904" s="361"/>
      <c r="O1904" s="95">
        <f t="shared" si="305"/>
        <v>1600</v>
      </c>
      <c r="P1904" s="95">
        <f t="shared" si="306"/>
        <v>0</v>
      </c>
      <c r="Q1904" s="361">
        <f t="shared" si="307"/>
        <v>0</v>
      </c>
    </row>
    <row r="1905" spans="2:17" x14ac:dyDescent="0.2">
      <c r="B1905" s="18">
        <f t="shared" si="308"/>
        <v>7</v>
      </c>
      <c r="C1905" s="6"/>
      <c r="D1905" s="6"/>
      <c r="E1905" s="6"/>
      <c r="F1905" s="93"/>
      <c r="G1905" s="5">
        <v>637</v>
      </c>
      <c r="H1905" s="6" t="s">
        <v>122</v>
      </c>
      <c r="I1905" s="7">
        <f>244000+11650</f>
        <v>255650</v>
      </c>
      <c r="J1905" s="7">
        <v>207039</v>
      </c>
      <c r="K1905" s="361">
        <f t="shared" si="304"/>
        <v>80.985331507920989</v>
      </c>
      <c r="L1905" s="7"/>
      <c r="M1905" s="7"/>
      <c r="N1905" s="361"/>
      <c r="O1905" s="95">
        <f t="shared" si="305"/>
        <v>255650</v>
      </c>
      <c r="P1905" s="95">
        <f t="shared" si="306"/>
        <v>207039</v>
      </c>
      <c r="Q1905" s="361">
        <f t="shared" si="307"/>
        <v>80.985331507920989</v>
      </c>
    </row>
    <row r="1906" spans="2:17" x14ac:dyDescent="0.2">
      <c r="B1906" s="18">
        <f t="shared" si="308"/>
        <v>8</v>
      </c>
      <c r="C1906" s="3"/>
      <c r="D1906" s="3"/>
      <c r="E1906" s="3"/>
      <c r="F1906" s="90" t="s">
        <v>153</v>
      </c>
      <c r="G1906" s="2">
        <v>640</v>
      </c>
      <c r="H1906" s="3" t="s">
        <v>129</v>
      </c>
      <c r="I1906" s="4">
        <f>I1907</f>
        <v>80500</v>
      </c>
      <c r="J1906" s="4">
        <f>J1907</f>
        <v>80671</v>
      </c>
      <c r="K1906" s="361">
        <f t="shared" si="304"/>
        <v>100.21242236024845</v>
      </c>
      <c r="L1906" s="4"/>
      <c r="M1906" s="4"/>
      <c r="N1906" s="361"/>
      <c r="O1906" s="92">
        <f t="shared" si="305"/>
        <v>80500</v>
      </c>
      <c r="P1906" s="92">
        <f t="shared" si="306"/>
        <v>80671</v>
      </c>
      <c r="Q1906" s="361">
        <f t="shared" si="307"/>
        <v>100.21242236024845</v>
      </c>
    </row>
    <row r="1907" spans="2:17" x14ac:dyDescent="0.2">
      <c r="B1907" s="18">
        <f t="shared" si="308"/>
        <v>9</v>
      </c>
      <c r="C1907" s="6"/>
      <c r="D1907" s="6"/>
      <c r="E1907" s="6"/>
      <c r="F1907" s="93"/>
      <c r="G1907" s="5">
        <v>642</v>
      </c>
      <c r="H1907" s="6" t="s">
        <v>130</v>
      </c>
      <c r="I1907" s="7">
        <f>73500+7000</f>
        <v>80500</v>
      </c>
      <c r="J1907" s="7">
        <v>80671</v>
      </c>
      <c r="K1907" s="361">
        <f t="shared" si="304"/>
        <v>100.21242236024845</v>
      </c>
      <c r="L1907" s="7"/>
      <c r="M1907" s="7"/>
      <c r="N1907" s="361"/>
      <c r="O1907" s="95">
        <f t="shared" si="305"/>
        <v>80500</v>
      </c>
      <c r="P1907" s="95">
        <f t="shared" si="306"/>
        <v>80671</v>
      </c>
      <c r="Q1907" s="361">
        <f t="shared" si="307"/>
        <v>100.21242236024845</v>
      </c>
    </row>
    <row r="1908" spans="2:17" x14ac:dyDescent="0.2">
      <c r="B1908" s="18">
        <f t="shared" si="308"/>
        <v>10</v>
      </c>
      <c r="C1908" s="3"/>
      <c r="D1908" s="3"/>
      <c r="E1908" s="3"/>
      <c r="F1908" s="90" t="s">
        <v>153</v>
      </c>
      <c r="G1908" s="2">
        <v>710</v>
      </c>
      <c r="H1908" s="3" t="s">
        <v>175</v>
      </c>
      <c r="I1908" s="4"/>
      <c r="J1908" s="4"/>
      <c r="K1908" s="361"/>
      <c r="L1908" s="4">
        <f>L1909</f>
        <v>1650</v>
      </c>
      <c r="M1908" s="4">
        <f>M1909</f>
        <v>1636</v>
      </c>
      <c r="N1908" s="361">
        <f>M1908/L1908*100</f>
        <v>99.151515151515142</v>
      </c>
      <c r="O1908" s="92">
        <f t="shared" si="305"/>
        <v>1650</v>
      </c>
      <c r="P1908" s="92">
        <f t="shared" si="306"/>
        <v>1636</v>
      </c>
      <c r="Q1908" s="361">
        <f t="shared" si="307"/>
        <v>99.151515151515142</v>
      </c>
    </row>
    <row r="1909" spans="2:17" x14ac:dyDescent="0.2">
      <c r="B1909" s="18">
        <f t="shared" si="308"/>
        <v>11</v>
      </c>
      <c r="C1909" s="6"/>
      <c r="D1909" s="6"/>
      <c r="E1909" s="6"/>
      <c r="F1909" s="93"/>
      <c r="G1909" s="5">
        <v>717</v>
      </c>
      <c r="H1909" s="6" t="s">
        <v>182</v>
      </c>
      <c r="I1909" s="7"/>
      <c r="J1909" s="7"/>
      <c r="K1909" s="361"/>
      <c r="L1909" s="7">
        <f>L1910</f>
        <v>1650</v>
      </c>
      <c r="M1909" s="7">
        <f>M1910</f>
        <v>1636</v>
      </c>
      <c r="N1909" s="361">
        <f>M1909/L1909*100</f>
        <v>99.151515151515142</v>
      </c>
      <c r="O1909" s="95">
        <f t="shared" si="305"/>
        <v>1650</v>
      </c>
      <c r="P1909" s="95">
        <f t="shared" si="306"/>
        <v>1636</v>
      </c>
      <c r="Q1909" s="361">
        <f t="shared" si="307"/>
        <v>99.151515151515142</v>
      </c>
    </row>
    <row r="1910" spans="2:17" x14ac:dyDescent="0.2">
      <c r="B1910" s="18">
        <f t="shared" si="308"/>
        <v>12</v>
      </c>
      <c r="C1910" s="67"/>
      <c r="D1910" s="67"/>
      <c r="E1910" s="67"/>
      <c r="F1910" s="8"/>
      <c r="G1910" s="8"/>
      <c r="H1910" s="9" t="s">
        <v>447</v>
      </c>
      <c r="I1910" s="10"/>
      <c r="J1910" s="10"/>
      <c r="K1910" s="361"/>
      <c r="L1910" s="10">
        <v>1650</v>
      </c>
      <c r="M1910" s="10">
        <v>1636</v>
      </c>
      <c r="N1910" s="107"/>
      <c r="O1910" s="108">
        <f t="shared" si="305"/>
        <v>1650</v>
      </c>
      <c r="P1910" s="108">
        <f t="shared" si="306"/>
        <v>1636</v>
      </c>
      <c r="Q1910" s="361">
        <f t="shared" si="307"/>
        <v>99.151515151515142</v>
      </c>
    </row>
    <row r="1911" spans="2:17" ht="15" x14ac:dyDescent="0.25">
      <c r="B1911" s="18">
        <f t="shared" si="308"/>
        <v>13</v>
      </c>
      <c r="C1911" s="96"/>
      <c r="D1911" s="96">
        <v>2</v>
      </c>
      <c r="E1911" s="497" t="s">
        <v>341</v>
      </c>
      <c r="F1911" s="498"/>
      <c r="G1911" s="498"/>
      <c r="H1911" s="498"/>
      <c r="I1911" s="97">
        <v>0</v>
      </c>
      <c r="J1911" s="97"/>
      <c r="K1911" s="361"/>
      <c r="L1911" s="97"/>
      <c r="M1911" s="97"/>
      <c r="N1911" s="88"/>
      <c r="O1911" s="98">
        <f t="shared" si="305"/>
        <v>0</v>
      </c>
      <c r="P1911" s="98">
        <f t="shared" si="306"/>
        <v>0</v>
      </c>
      <c r="Q1911" s="361"/>
    </row>
    <row r="1912" spans="2:17" ht="15" x14ac:dyDescent="0.25">
      <c r="B1912" s="18">
        <f t="shared" si="308"/>
        <v>14</v>
      </c>
      <c r="C1912" s="96"/>
      <c r="D1912" s="96">
        <v>3</v>
      </c>
      <c r="E1912" s="497" t="s">
        <v>186</v>
      </c>
      <c r="F1912" s="498"/>
      <c r="G1912" s="498"/>
      <c r="H1912" s="498"/>
      <c r="I1912" s="97">
        <f>I1913+I1914+I1915+I1919</f>
        <v>54210</v>
      </c>
      <c r="J1912" s="97">
        <f>J1913+J1914+J1915+J1919</f>
        <v>50072</v>
      </c>
      <c r="K1912" s="361">
        <f t="shared" ref="K1912:K1919" si="309">J1912/I1912*100</f>
        <v>92.36672200700977</v>
      </c>
      <c r="L1912" s="97"/>
      <c r="M1912" s="97"/>
      <c r="N1912" s="88"/>
      <c r="O1912" s="98">
        <f t="shared" si="305"/>
        <v>54210</v>
      </c>
      <c r="P1912" s="98">
        <f t="shared" si="306"/>
        <v>50072</v>
      </c>
      <c r="Q1912" s="361">
        <f t="shared" ref="Q1912:Q1919" si="310">P1912/O1912*100</f>
        <v>92.36672200700977</v>
      </c>
    </row>
    <row r="1913" spans="2:17" x14ac:dyDescent="0.2">
      <c r="B1913" s="18">
        <f t="shared" si="308"/>
        <v>15</v>
      </c>
      <c r="C1913" s="3"/>
      <c r="D1913" s="3"/>
      <c r="E1913" s="3"/>
      <c r="F1913" s="90" t="s">
        <v>185</v>
      </c>
      <c r="G1913" s="2">
        <v>610</v>
      </c>
      <c r="H1913" s="3" t="s">
        <v>131</v>
      </c>
      <c r="I1913" s="4">
        <f>17700+11500+4000+2200</f>
        <v>35400</v>
      </c>
      <c r="J1913" s="4">
        <v>33281</v>
      </c>
      <c r="K1913" s="361">
        <f t="shared" si="309"/>
        <v>94.014124293785301</v>
      </c>
      <c r="L1913" s="4"/>
      <c r="M1913" s="4"/>
      <c r="N1913" s="91"/>
      <c r="O1913" s="92">
        <f t="shared" si="305"/>
        <v>35400</v>
      </c>
      <c r="P1913" s="92">
        <f t="shared" si="306"/>
        <v>33281</v>
      </c>
      <c r="Q1913" s="361">
        <f t="shared" si="310"/>
        <v>94.014124293785301</v>
      </c>
    </row>
    <row r="1914" spans="2:17" ht="27" customHeight="1" x14ac:dyDescent="0.2">
      <c r="B1914" s="18">
        <f t="shared" si="308"/>
        <v>16</v>
      </c>
      <c r="C1914" s="3"/>
      <c r="D1914" s="3"/>
      <c r="E1914" s="3"/>
      <c r="F1914" s="90" t="s">
        <v>185</v>
      </c>
      <c r="G1914" s="2">
        <v>620</v>
      </c>
      <c r="H1914" s="3" t="s">
        <v>124</v>
      </c>
      <c r="I1914" s="4">
        <f>2500+400+1840+2700+250+920+300+1400+500+2900</f>
        <v>13710</v>
      </c>
      <c r="J1914" s="4">
        <v>12518</v>
      </c>
      <c r="K1914" s="361">
        <f t="shared" si="309"/>
        <v>91.305616338439094</v>
      </c>
      <c r="L1914" s="4"/>
      <c r="M1914" s="4"/>
      <c r="N1914" s="91"/>
      <c r="O1914" s="92">
        <f t="shared" si="305"/>
        <v>13710</v>
      </c>
      <c r="P1914" s="92">
        <f t="shared" si="306"/>
        <v>12518</v>
      </c>
      <c r="Q1914" s="361">
        <f t="shared" si="310"/>
        <v>91.305616338439094</v>
      </c>
    </row>
    <row r="1915" spans="2:17" x14ac:dyDescent="0.2">
      <c r="B1915" s="18">
        <f t="shared" si="308"/>
        <v>17</v>
      </c>
      <c r="C1915" s="3"/>
      <c r="D1915" s="3"/>
      <c r="E1915" s="3"/>
      <c r="F1915" s="90" t="s">
        <v>185</v>
      </c>
      <c r="G1915" s="2">
        <v>630</v>
      </c>
      <c r="H1915" s="3" t="s">
        <v>121</v>
      </c>
      <c r="I1915" s="4">
        <f>SUM(I1916:I1918)</f>
        <v>2600</v>
      </c>
      <c r="J1915" s="4">
        <f>SUM(J1916:J1918)</f>
        <v>2161</v>
      </c>
      <c r="K1915" s="361">
        <f t="shared" si="309"/>
        <v>83.115384615384613</v>
      </c>
      <c r="L1915" s="4"/>
      <c r="M1915" s="4"/>
      <c r="N1915" s="91"/>
      <c r="O1915" s="92">
        <f t="shared" si="305"/>
        <v>2600</v>
      </c>
      <c r="P1915" s="92">
        <f t="shared" si="306"/>
        <v>2161</v>
      </c>
      <c r="Q1915" s="361">
        <f t="shared" si="310"/>
        <v>83.115384615384613</v>
      </c>
    </row>
    <row r="1916" spans="2:17" x14ac:dyDescent="0.2">
      <c r="B1916" s="18">
        <f t="shared" si="308"/>
        <v>18</v>
      </c>
      <c r="C1916" s="6"/>
      <c r="D1916" s="6"/>
      <c r="E1916" s="6"/>
      <c r="F1916" s="93"/>
      <c r="G1916" s="5">
        <v>632</v>
      </c>
      <c r="H1916" s="6" t="s">
        <v>134</v>
      </c>
      <c r="I1916" s="7">
        <f>500+350</f>
        <v>850</v>
      </c>
      <c r="J1916" s="7">
        <v>850</v>
      </c>
      <c r="K1916" s="361">
        <f t="shared" si="309"/>
        <v>100</v>
      </c>
      <c r="L1916" s="7"/>
      <c r="M1916" s="7"/>
      <c r="N1916" s="94"/>
      <c r="O1916" s="95">
        <f t="shared" si="305"/>
        <v>850</v>
      </c>
      <c r="P1916" s="95">
        <f t="shared" si="306"/>
        <v>850</v>
      </c>
      <c r="Q1916" s="361">
        <f t="shared" si="310"/>
        <v>100</v>
      </c>
    </row>
    <row r="1917" spans="2:17" x14ac:dyDescent="0.2">
      <c r="B1917" s="18">
        <f t="shared" si="308"/>
        <v>19</v>
      </c>
      <c r="C1917" s="6"/>
      <c r="D1917" s="6"/>
      <c r="E1917" s="6"/>
      <c r="F1917" s="93"/>
      <c r="G1917" s="5">
        <v>633</v>
      </c>
      <c r="H1917" s="6" t="s">
        <v>125</v>
      </c>
      <c r="I1917" s="7">
        <f>400+300</f>
        <v>700</v>
      </c>
      <c r="J1917" s="7">
        <v>357</v>
      </c>
      <c r="K1917" s="361">
        <f t="shared" si="309"/>
        <v>51</v>
      </c>
      <c r="L1917" s="7"/>
      <c r="M1917" s="7"/>
      <c r="N1917" s="94"/>
      <c r="O1917" s="95">
        <f t="shared" si="305"/>
        <v>700</v>
      </c>
      <c r="P1917" s="95">
        <f t="shared" si="306"/>
        <v>357</v>
      </c>
      <c r="Q1917" s="361">
        <f t="shared" si="310"/>
        <v>51</v>
      </c>
    </row>
    <row r="1918" spans="2:17" x14ac:dyDescent="0.2">
      <c r="B1918" s="18">
        <f t="shared" si="308"/>
        <v>20</v>
      </c>
      <c r="C1918" s="6"/>
      <c r="D1918" s="6"/>
      <c r="E1918" s="6"/>
      <c r="F1918" s="93"/>
      <c r="G1918" s="5">
        <v>637</v>
      </c>
      <c r="H1918" s="6" t="s">
        <v>122</v>
      </c>
      <c r="I1918" s="7">
        <f>600+450</f>
        <v>1050</v>
      </c>
      <c r="J1918" s="7">
        <v>954</v>
      </c>
      <c r="K1918" s="361">
        <f t="shared" si="309"/>
        <v>90.857142857142861</v>
      </c>
      <c r="L1918" s="7"/>
      <c r="M1918" s="7"/>
      <c r="N1918" s="94"/>
      <c r="O1918" s="95">
        <f t="shared" si="305"/>
        <v>1050</v>
      </c>
      <c r="P1918" s="95">
        <f t="shared" si="306"/>
        <v>954</v>
      </c>
      <c r="Q1918" s="361">
        <f t="shared" si="310"/>
        <v>90.857142857142861</v>
      </c>
    </row>
    <row r="1919" spans="2:17" x14ac:dyDescent="0.2">
      <c r="B1919" s="18">
        <f t="shared" si="308"/>
        <v>21</v>
      </c>
      <c r="C1919" s="278"/>
      <c r="D1919" s="278"/>
      <c r="E1919" s="278"/>
      <c r="F1919" s="279" t="s">
        <v>185</v>
      </c>
      <c r="G1919" s="280">
        <v>640</v>
      </c>
      <c r="H1919" s="278" t="s">
        <v>129</v>
      </c>
      <c r="I1919" s="281">
        <f>1900+600</f>
        <v>2500</v>
      </c>
      <c r="J1919" s="281">
        <v>2112</v>
      </c>
      <c r="K1919" s="361">
        <f t="shared" si="309"/>
        <v>84.48</v>
      </c>
      <c r="L1919" s="281"/>
      <c r="M1919" s="281"/>
      <c r="N1919" s="282"/>
      <c r="O1919" s="283">
        <f t="shared" si="305"/>
        <v>2500</v>
      </c>
      <c r="P1919" s="283">
        <f t="shared" si="306"/>
        <v>2112</v>
      </c>
      <c r="Q1919" s="361">
        <f t="shared" si="310"/>
        <v>84.48</v>
      </c>
    </row>
    <row r="1920" spans="2:17" x14ac:dyDescent="0.2">
      <c r="B1920" s="1"/>
      <c r="F1920" s="1"/>
      <c r="G1920" s="1"/>
      <c r="I1920" s="1"/>
      <c r="J1920" s="1"/>
      <c r="K1920" s="1"/>
      <c r="L1920" s="1"/>
      <c r="M1920" s="1"/>
      <c r="N1920" s="1"/>
      <c r="O1920" s="1"/>
    </row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ht="25.5" customHeigh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22" customFormat="1" x14ac:dyDescent="0.2"/>
    <row r="2019" s="1" customFormat="1" x14ac:dyDescent="0.2"/>
    <row r="2020" s="1" customFormat="1" x14ac:dyDescent="0.2"/>
    <row r="2021" s="1" customForma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1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ht="13.5" customHeight="1" x14ac:dyDescent="0.2"/>
    <row r="2032" s="1" customFormat="1" ht="12.75" customHeigh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x14ac:dyDescent="0.2"/>
    <row r="2040" s="1" customForma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24" customFormat="1" ht="12" x14ac:dyDescent="0.2"/>
    <row r="2083" s="124" customFormat="1" ht="12" x14ac:dyDescent="0.2"/>
    <row r="2084" s="124" customFormat="1" ht="12" x14ac:dyDescent="0.2"/>
    <row r="2085" s="124" customFormat="1" ht="12" x14ac:dyDescent="0.2"/>
    <row r="2086" s="124" customFormat="1" ht="12" x14ac:dyDescent="0.2"/>
    <row r="2087" s="124" customFormat="1" ht="12" x14ac:dyDescent="0.2"/>
    <row r="2088" s="1" customFormat="1" x14ac:dyDescent="0.2"/>
    <row r="2089" s="1" customFormat="1" x14ac:dyDescent="0.2"/>
    <row r="2090" s="1" customFormat="1" x14ac:dyDescent="0.2"/>
    <row r="2091" s="1" customFormat="1" x14ac:dyDescent="0.2"/>
    <row r="2092" s="1" customFormat="1" x14ac:dyDescent="0.2"/>
    <row r="2093" s="1" customFormat="1" x14ac:dyDescent="0.2"/>
    <row r="2094" s="1" customFormat="1" x14ac:dyDescent="0.2"/>
    <row r="2095" s="1" customFormat="1" x14ac:dyDescent="0.2"/>
    <row r="2096" s="1" customFormat="1" x14ac:dyDescent="0.2"/>
    <row r="2097" s="1" customFormat="1" x14ac:dyDescent="0.2"/>
    <row r="2098" s="1" customFormat="1" x14ac:dyDescent="0.2"/>
    <row r="2099" s="1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x14ac:dyDescent="0.2"/>
    <row r="2126" s="1" customFormat="1" x14ac:dyDescent="0.2"/>
    <row r="2127" s="1" customFormat="1" ht="12.75" customHeigh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22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" customFormat="1" x14ac:dyDescent="0.2"/>
    <row r="2159" s="1" customFormat="1" x14ac:dyDescent="0.2"/>
    <row r="2160" s="122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x14ac:dyDescent="0.2"/>
    <row r="2166" s="1" customFormat="1" x14ac:dyDescent="0.2"/>
    <row r="2167" s="1" customFormat="1" ht="13.5" customHeight="1" x14ac:dyDescent="0.2"/>
    <row r="2168" s="1" customFormat="1" ht="19.5" customHeight="1" x14ac:dyDescent="0.2"/>
    <row r="2169" s="1" customFormat="1" x14ac:dyDescent="0.2"/>
    <row r="2170" s="1" customFormat="1" ht="17.25" customHeigh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x14ac:dyDescent="0.2"/>
    <row r="2176" s="1" customFormat="1" x14ac:dyDescent="0.2"/>
    <row r="2177" s="1" customFormat="1" x14ac:dyDescent="0.2"/>
    <row r="2178" s="1" customForma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1" customFormat="1" x14ac:dyDescent="0.2"/>
    <row r="2209" s="1" customFormat="1" x14ac:dyDescent="0.2"/>
    <row r="2210" s="22" customFormat="1" x14ac:dyDescent="0.2"/>
    <row r="2211" s="22" customFormat="1" x14ac:dyDescent="0.2"/>
    <row r="2212" s="22" customFormat="1" x14ac:dyDescent="0.2"/>
    <row r="2213" s="22" customFormat="1" x14ac:dyDescent="0.2"/>
    <row r="2214" s="22" customFormat="1" x14ac:dyDescent="0.2"/>
    <row r="2215" s="22" customFormat="1" x14ac:dyDescent="0.2"/>
    <row r="2216" s="22" customFormat="1" x14ac:dyDescent="0.2"/>
    <row r="2217" s="22" customFormat="1" x14ac:dyDescent="0.2"/>
    <row r="2218" s="22" customFormat="1" x14ac:dyDescent="0.2"/>
    <row r="2219" s="22" customFormat="1" x14ac:dyDescent="0.2"/>
    <row r="2220" s="1" customFormat="1" x14ac:dyDescent="0.2"/>
    <row r="2221" s="1" customFormat="1" x14ac:dyDescent="0.2"/>
    <row r="2222" s="1" customFormat="1" x14ac:dyDescent="0.2"/>
    <row r="2223" s="1" customFormat="1" x14ac:dyDescent="0.2"/>
    <row r="2224" s="1" customFormat="1" x14ac:dyDescent="0.2"/>
    <row r="2225" s="1" customFormat="1" x14ac:dyDescent="0.2"/>
    <row r="2226" s="1" customFormat="1" x14ac:dyDescent="0.2"/>
    <row r="2227" s="1" customFormat="1" x14ac:dyDescent="0.2"/>
    <row r="2228" s="1" customFormat="1" x14ac:dyDescent="0.2"/>
    <row r="2229" s="1" customFormat="1" x14ac:dyDescent="0.2"/>
    <row r="2230" s="1" customFormat="1" x14ac:dyDescent="0.2"/>
    <row r="2231" s="1" customFormat="1" x14ac:dyDescent="0.2"/>
    <row r="2232" s="1" customFormat="1" x14ac:dyDescent="0.2"/>
    <row r="2233" s="1" customFormat="1" x14ac:dyDescent="0.2"/>
    <row r="2234" s="1" customFormat="1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" customFormat="1" x14ac:dyDescent="0.2"/>
    <row r="2240" s="1" customFormat="1" x14ac:dyDescent="0.2"/>
    <row r="2241" s="125" customFormat="1" ht="11.25" x14ac:dyDescent="0.2"/>
    <row r="2242" s="125" customFormat="1" ht="11.25" x14ac:dyDescent="0.2"/>
    <row r="2243" s="125" customFormat="1" ht="11.25" x14ac:dyDescent="0.2"/>
    <row r="2244" s="1" customFormat="1" x14ac:dyDescent="0.2"/>
    <row r="2245" s="126" customFormat="1" ht="11.25" x14ac:dyDescent="0.2"/>
    <row r="2246" s="1" customFormat="1" x14ac:dyDescent="0.2"/>
    <row r="2247" s="1" customFormat="1" x14ac:dyDescent="0.2"/>
    <row r="2248" s="1" customFormat="1" x14ac:dyDescent="0.2"/>
    <row r="2249" s="1" customFormat="1" x14ac:dyDescent="0.2"/>
    <row r="2250" s="1" customFormat="1" x14ac:dyDescent="0.2"/>
    <row r="2251" s="1" customFormat="1" x14ac:dyDescent="0.2"/>
    <row r="2252" s="1" customFormat="1" x14ac:dyDescent="0.2"/>
    <row r="2253" s="1" customFormat="1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x14ac:dyDescent="0.2"/>
    <row r="2290" s="1" customFormat="1" x14ac:dyDescent="0.2"/>
    <row r="2291" s="1" customFormat="1" x14ac:dyDescent="0.2"/>
    <row r="2292" s="1" customFormat="1" x14ac:dyDescent="0.2"/>
    <row r="2293" s="1" customFormat="1" x14ac:dyDescent="0.2"/>
    <row r="2294" s="1" customFormat="1" x14ac:dyDescent="0.2"/>
    <row r="2295" s="1" customFormat="1" x14ac:dyDescent="0.2"/>
    <row r="2296" s="1" customFormat="1" x14ac:dyDescent="0.2"/>
    <row r="2297" s="1" customFormat="1" x14ac:dyDescent="0.2"/>
    <row r="2298" s="1" customFormat="1" x14ac:dyDescent="0.2"/>
    <row r="2299" s="127" customFormat="1" ht="11.25" x14ac:dyDescent="0.2"/>
    <row r="2300" s="127" customFormat="1" ht="11.25" x14ac:dyDescent="0.2"/>
    <row r="2301" s="1" customFormat="1" x14ac:dyDescent="0.2"/>
    <row r="2302" s="127" customFormat="1" ht="11.25" x14ac:dyDescent="0.2"/>
    <row r="2303" s="127" customFormat="1" ht="11.25" x14ac:dyDescent="0.2"/>
    <row r="2304" s="127" customFormat="1" ht="11.25" x14ac:dyDescent="0.2"/>
    <row r="2305" s="127" customFormat="1" ht="11.25" x14ac:dyDescent="0.2"/>
    <row r="2306" s="127" customFormat="1" ht="11.25" x14ac:dyDescent="0.2"/>
    <row r="2307" s="127" customFormat="1" ht="11.25" x14ac:dyDescent="0.2"/>
    <row r="2308" s="1" customFormat="1" x14ac:dyDescent="0.2"/>
    <row r="2309" s="1" customFormat="1" x14ac:dyDescent="0.2"/>
    <row r="2310" s="1" customFormat="1" x14ac:dyDescent="0.2"/>
    <row r="2311" s="1" customFormat="1" x14ac:dyDescent="0.2"/>
    <row r="2312" s="1" customFormat="1" x14ac:dyDescent="0.2"/>
    <row r="2313" s="1" customFormat="1" x14ac:dyDescent="0.2"/>
    <row r="2314" s="1" customFormat="1" x14ac:dyDescent="0.2"/>
    <row r="2315" s="1" customFormat="1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1" customFormat="1" x14ac:dyDescent="0.2"/>
    <row r="2323" s="1" customFormat="1" x14ac:dyDescent="0.2"/>
    <row r="2324" s="1" customFormat="1" x14ac:dyDescent="0.2"/>
    <row r="2325" s="1" customFormat="1" x14ac:dyDescent="0.2"/>
    <row r="2326" s="1" customFormat="1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" customFormat="1" x14ac:dyDescent="0.2"/>
    <row r="2338" s="1" customFormat="1" x14ac:dyDescent="0.2"/>
    <row r="2339" s="1" customFormat="1" x14ac:dyDescent="0.2"/>
    <row r="2340" s="1" customFormat="1" x14ac:dyDescent="0.2"/>
    <row r="2341" s="1" customFormat="1" x14ac:dyDescent="0.2"/>
    <row r="2342" s="1" customFormat="1" x14ac:dyDescent="0.2"/>
    <row r="2343" s="1" customFormat="1" x14ac:dyDescent="0.2"/>
    <row r="2344" s="1" customFormat="1" x14ac:dyDescent="0.2"/>
    <row r="2345" s="1" customFormat="1" x14ac:dyDescent="0.2"/>
    <row r="2346" s="1" customFormat="1" x14ac:dyDescent="0.2"/>
    <row r="2347" s="1" customFormat="1" x14ac:dyDescent="0.2"/>
    <row r="2348" s="122" customFormat="1" x14ac:dyDescent="0.2"/>
    <row r="2349" s="122" customFormat="1" x14ac:dyDescent="0.2"/>
    <row r="2350" s="122" customFormat="1" x14ac:dyDescent="0.2"/>
    <row r="2351" s="122" customFormat="1" x14ac:dyDescent="0.2"/>
    <row r="2352" s="122" customFormat="1" x14ac:dyDescent="0.2"/>
    <row r="2353" s="1" customFormat="1" x14ac:dyDescent="0.2"/>
    <row r="2354" s="122" customFormat="1" x14ac:dyDescent="0.2"/>
    <row r="2355" s="122" customFormat="1" x14ac:dyDescent="0.2"/>
    <row r="2356" s="122" customFormat="1" x14ac:dyDescent="0.2"/>
    <row r="2357" s="1" customFormat="1" x14ac:dyDescent="0.2"/>
    <row r="2358" s="1" customFormat="1" x14ac:dyDescent="0.2"/>
    <row r="2359" s="1" customFormat="1" x14ac:dyDescent="0.2"/>
    <row r="2360" s="1" customFormat="1" x14ac:dyDescent="0.2"/>
    <row r="2361" s="1" customFormat="1" x14ac:dyDescent="0.2"/>
    <row r="2362" s="1" customFormat="1" x14ac:dyDescent="0.2"/>
    <row r="2363" s="1" customFormat="1" x14ac:dyDescent="0.2"/>
    <row r="2364" s="1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1" customFormat="1" x14ac:dyDescent="0.2"/>
    <row r="2381" s="1" customFormat="1" x14ac:dyDescent="0.2"/>
    <row r="2382" s="1" customFormat="1" x14ac:dyDescent="0.2"/>
    <row r="2383" s="1" customFormat="1" x14ac:dyDescent="0.2"/>
    <row r="2384" s="1" customFormat="1" x14ac:dyDescent="0.2"/>
    <row r="2385" s="1" customFormat="1" x14ac:dyDescent="0.2"/>
    <row r="2386" s="1" customFormat="1" x14ac:dyDescent="0.2"/>
    <row r="2387" s="1" customFormat="1" x14ac:dyDescent="0.2"/>
    <row r="2388" s="1" customFormat="1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x14ac:dyDescent="0.2"/>
    <row r="2398" s="1" customForma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x14ac:dyDescent="0.2"/>
    <row r="2407" s="1" customFormat="1" x14ac:dyDescent="0.2"/>
    <row r="2408" s="1" customFormat="1" ht="13.5" customHeight="1" x14ac:dyDescent="0.2"/>
    <row r="2409" s="1" customFormat="1" ht="12.75" customHeigh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x14ac:dyDescent="0.2"/>
    <row r="2417" s="1" customFormat="1" x14ac:dyDescent="0.2"/>
    <row r="2418" s="1" customFormat="1" x14ac:dyDescent="0.2"/>
    <row r="2419" s="1" customFormat="1" x14ac:dyDescent="0.2"/>
    <row r="2420" s="1" customFormat="1" x14ac:dyDescent="0.2"/>
    <row r="2421" s="1" customFormat="1" x14ac:dyDescent="0.2"/>
    <row r="2422" s="1" customFormat="1" x14ac:dyDescent="0.2"/>
    <row r="2423" s="1" customFormat="1" x14ac:dyDescent="0.2"/>
    <row r="2424" s="1" customFormat="1" x14ac:dyDescent="0.2"/>
    <row r="2425" s="1" customFormat="1" x14ac:dyDescent="0.2"/>
    <row r="2426" s="1" customFormat="1" x14ac:dyDescent="0.2"/>
    <row r="2427" s="1" customFormat="1" x14ac:dyDescent="0.2"/>
    <row r="2428" s="1" customFormat="1" x14ac:dyDescent="0.2"/>
    <row r="2429" s="1" customFormat="1" x14ac:dyDescent="0.2"/>
    <row r="2430" s="1" customFormat="1" x14ac:dyDescent="0.2"/>
    <row r="2431" s="1" customFormat="1" x14ac:dyDescent="0.2"/>
    <row r="2432" s="1" customFormat="1" x14ac:dyDescent="0.2"/>
    <row r="2433" s="1" customFormat="1" x14ac:dyDescent="0.2"/>
    <row r="2434" s="1" customFormat="1" x14ac:dyDescent="0.2"/>
  </sheetData>
  <mergeCells count="323">
    <mergeCell ref="B5:B8"/>
    <mergeCell ref="D5:D8"/>
    <mergeCell ref="B4:N4"/>
    <mergeCell ref="B2:O2"/>
    <mergeCell ref="D72:H72"/>
    <mergeCell ref="E24:H24"/>
    <mergeCell ref="D46:H46"/>
    <mergeCell ref="F5:F8"/>
    <mergeCell ref="I5:I8"/>
    <mergeCell ref="D69:H69"/>
    <mergeCell ref="D60:H60"/>
    <mergeCell ref="D57:H57"/>
    <mergeCell ref="G5:G8"/>
    <mergeCell ref="E18:H18"/>
    <mergeCell ref="D10:H10"/>
    <mergeCell ref="E21:H21"/>
    <mergeCell ref="D58:H58"/>
    <mergeCell ref="E11:H11"/>
    <mergeCell ref="D59:H59"/>
    <mergeCell ref="D31:H31"/>
    <mergeCell ref="H5:H8"/>
    <mergeCell ref="C9:H9"/>
    <mergeCell ref="C5:C8"/>
    <mergeCell ref="E5:E8"/>
    <mergeCell ref="B3:O3"/>
    <mergeCell ref="O4:O8"/>
    <mergeCell ref="L5:L8"/>
    <mergeCell ref="P76:P80"/>
    <mergeCell ref="Q76:Q80"/>
    <mergeCell ref="J77:J80"/>
    <mergeCell ref="K77:K80"/>
    <mergeCell ref="M77:M80"/>
    <mergeCell ref="N77:N80"/>
    <mergeCell ref="P4:P8"/>
    <mergeCell ref="Q4:Q8"/>
    <mergeCell ref="J5:J8"/>
    <mergeCell ref="K5:K8"/>
    <mergeCell ref="M5:M8"/>
    <mergeCell ref="N5:N8"/>
    <mergeCell ref="L77:L80"/>
    <mergeCell ref="E77:E80"/>
    <mergeCell ref="F77:F80"/>
    <mergeCell ref="G77:G80"/>
    <mergeCell ref="H77:H80"/>
    <mergeCell ref="I77:I80"/>
    <mergeCell ref="B75:O75"/>
    <mergeCell ref="O76:O80"/>
    <mergeCell ref="B77:B80"/>
    <mergeCell ref="B76:N76"/>
    <mergeCell ref="P103:P107"/>
    <mergeCell ref="Q103:Q107"/>
    <mergeCell ref="J104:J107"/>
    <mergeCell ref="K104:K107"/>
    <mergeCell ref="M104:M107"/>
    <mergeCell ref="N104:N107"/>
    <mergeCell ref="L104:L107"/>
    <mergeCell ref="C81:H81"/>
    <mergeCell ref="D82:H82"/>
    <mergeCell ref="D90:H90"/>
    <mergeCell ref="G104:G107"/>
    <mergeCell ref="H104:H107"/>
    <mergeCell ref="I104:I107"/>
    <mergeCell ref="B102:O102"/>
    <mergeCell ref="O103:O107"/>
    <mergeCell ref="B104:B107"/>
    <mergeCell ref="C104:C107"/>
    <mergeCell ref="D104:D107"/>
    <mergeCell ref="E104:E107"/>
    <mergeCell ref="F104:F107"/>
    <mergeCell ref="B103:N103"/>
    <mergeCell ref="B207:O207"/>
    <mergeCell ref="O208:O212"/>
    <mergeCell ref="B209:B212"/>
    <mergeCell ref="C209:C212"/>
    <mergeCell ref="D209:D212"/>
    <mergeCell ref="E209:E212"/>
    <mergeCell ref="F209:F212"/>
    <mergeCell ref="G209:G212"/>
    <mergeCell ref="C77:C80"/>
    <mergeCell ref="D77:D80"/>
    <mergeCell ref="D199:H199"/>
    <mergeCell ref="C108:H108"/>
    <mergeCell ref="D109:H109"/>
    <mergeCell ref="D112:H112"/>
    <mergeCell ref="E113:H113"/>
    <mergeCell ref="E116:H116"/>
    <mergeCell ref="E123:H123"/>
    <mergeCell ref="D131:H131"/>
    <mergeCell ref="D135:H135"/>
    <mergeCell ref="D158:H158"/>
    <mergeCell ref="D179:H179"/>
    <mergeCell ref="D184:H184"/>
    <mergeCell ref="H209:H212"/>
    <mergeCell ref="B208:N208"/>
    <mergeCell ref="P208:P212"/>
    <mergeCell ref="Q208:Q212"/>
    <mergeCell ref="J209:J212"/>
    <mergeCell ref="K209:K212"/>
    <mergeCell ref="M209:M212"/>
    <mergeCell ref="N209:N212"/>
    <mergeCell ref="I209:I212"/>
    <mergeCell ref="L209:L212"/>
    <mergeCell ref="C293:H293"/>
    <mergeCell ref="P288:P292"/>
    <mergeCell ref="Q288:Q292"/>
    <mergeCell ref="J289:J292"/>
    <mergeCell ref="K289:K292"/>
    <mergeCell ref="M289:M292"/>
    <mergeCell ref="N289:N292"/>
    <mergeCell ref="D278:H278"/>
    <mergeCell ref="C213:H213"/>
    <mergeCell ref="D214:H214"/>
    <mergeCell ref="D220:H220"/>
    <mergeCell ref="D231:H231"/>
    <mergeCell ref="D240:H240"/>
    <mergeCell ref="D253:H253"/>
    <mergeCell ref="D264:H264"/>
    <mergeCell ref="D294:H294"/>
    <mergeCell ref="I289:I292"/>
    <mergeCell ref="L289:L292"/>
    <mergeCell ref="B287:O287"/>
    <mergeCell ref="O288:O292"/>
    <mergeCell ref="B289:B292"/>
    <mergeCell ref="C289:C292"/>
    <mergeCell ref="D289:D292"/>
    <mergeCell ref="E289:E292"/>
    <mergeCell ref="F289:F292"/>
    <mergeCell ref="G289:G292"/>
    <mergeCell ref="H289:H292"/>
    <mergeCell ref="B288:N288"/>
    <mergeCell ref="P366:P370"/>
    <mergeCell ref="Q366:Q370"/>
    <mergeCell ref="J367:J370"/>
    <mergeCell ref="K367:K370"/>
    <mergeCell ref="M367:M370"/>
    <mergeCell ref="N367:N370"/>
    <mergeCell ref="D313:H313"/>
    <mergeCell ref="D340:H340"/>
    <mergeCell ref="D346:H346"/>
    <mergeCell ref="D351:H351"/>
    <mergeCell ref="E403:H403"/>
    <mergeCell ref="D413:H413"/>
    <mergeCell ref="C371:H371"/>
    <mergeCell ref="D372:H372"/>
    <mergeCell ref="D380:H380"/>
    <mergeCell ref="E381:H381"/>
    <mergeCell ref="B365:O365"/>
    <mergeCell ref="O366:O370"/>
    <mergeCell ref="B367:B370"/>
    <mergeCell ref="C367:C370"/>
    <mergeCell ref="D367:D370"/>
    <mergeCell ref="L367:L370"/>
    <mergeCell ref="E367:E370"/>
    <mergeCell ref="F367:F370"/>
    <mergeCell ref="G367:G370"/>
    <mergeCell ref="H367:H370"/>
    <mergeCell ref="I367:I370"/>
    <mergeCell ref="B366:N366"/>
    <mergeCell ref="B490:P490"/>
    <mergeCell ref="P491:P495"/>
    <mergeCell ref="B492:B495"/>
    <mergeCell ref="C492:C495"/>
    <mergeCell ref="D492:D495"/>
    <mergeCell ref="E492:E495"/>
    <mergeCell ref="F492:F495"/>
    <mergeCell ref="B491:N491"/>
    <mergeCell ref="O491:O495"/>
    <mergeCell ref="L492:L495"/>
    <mergeCell ref="M492:M495"/>
    <mergeCell ref="J492:J495"/>
    <mergeCell ref="K492:K495"/>
    <mergeCell ref="N492:N495"/>
    <mergeCell ref="P1358:P1362"/>
    <mergeCell ref="Q1358:Q1362"/>
    <mergeCell ref="J1359:J1362"/>
    <mergeCell ref="K1359:K1362"/>
    <mergeCell ref="M1359:M1362"/>
    <mergeCell ref="N1359:N1362"/>
    <mergeCell ref="D1333:H1333"/>
    <mergeCell ref="G492:G495"/>
    <mergeCell ref="H492:H495"/>
    <mergeCell ref="I492:I495"/>
    <mergeCell ref="C496:H496"/>
    <mergeCell ref="D497:H497"/>
    <mergeCell ref="D707:H707"/>
    <mergeCell ref="D938:H938"/>
    <mergeCell ref="D1048:H1048"/>
    <mergeCell ref="Q491:Q495"/>
    <mergeCell ref="L1359:L1362"/>
    <mergeCell ref="B1357:O1357"/>
    <mergeCell ref="O1358:O1362"/>
    <mergeCell ref="B1359:B1362"/>
    <mergeCell ref="C1359:C1362"/>
    <mergeCell ref="D1359:D1362"/>
    <mergeCell ref="E1359:E1362"/>
    <mergeCell ref="F1359:F1362"/>
    <mergeCell ref="G1359:G1362"/>
    <mergeCell ref="H1359:H1362"/>
    <mergeCell ref="B1358:N1358"/>
    <mergeCell ref="D1367:H1367"/>
    <mergeCell ref="D1384:H1384"/>
    <mergeCell ref="E1385:H1385"/>
    <mergeCell ref="E1396:H1396"/>
    <mergeCell ref="E1408:H1408"/>
    <mergeCell ref="E1433:H1433"/>
    <mergeCell ref="C1363:H1363"/>
    <mergeCell ref="D1364:H1364"/>
    <mergeCell ref="I1359:I1362"/>
    <mergeCell ref="P1502:P1506"/>
    <mergeCell ref="Q1502:Q1506"/>
    <mergeCell ref="J1503:J1506"/>
    <mergeCell ref="K1503:K1506"/>
    <mergeCell ref="M1503:M1506"/>
    <mergeCell ref="N1503:N1506"/>
    <mergeCell ref="L1503:L1506"/>
    <mergeCell ref="E1449:H1449"/>
    <mergeCell ref="D1453:H1453"/>
    <mergeCell ref="G1503:G1506"/>
    <mergeCell ref="H1503:H1506"/>
    <mergeCell ref="I1503:I1506"/>
    <mergeCell ref="B1501:O1501"/>
    <mergeCell ref="O1502:O1506"/>
    <mergeCell ref="B1503:B1506"/>
    <mergeCell ref="C1503:C1506"/>
    <mergeCell ref="D1503:D1506"/>
    <mergeCell ref="E1503:E1506"/>
    <mergeCell ref="F1503:F1506"/>
    <mergeCell ref="B1502:N1502"/>
    <mergeCell ref="P1592:P1596"/>
    <mergeCell ref="Q1592:Q1596"/>
    <mergeCell ref="J1593:J1596"/>
    <mergeCell ref="K1593:K1596"/>
    <mergeCell ref="M1593:M1596"/>
    <mergeCell ref="N1593:N1596"/>
    <mergeCell ref="L1593:L1596"/>
    <mergeCell ref="D1569:H1569"/>
    <mergeCell ref="C1507:H1507"/>
    <mergeCell ref="D1508:H1508"/>
    <mergeCell ref="D1526:H1526"/>
    <mergeCell ref="D1531:H1531"/>
    <mergeCell ref="D1548:H1548"/>
    <mergeCell ref="B1591:O1591"/>
    <mergeCell ref="O1592:O1596"/>
    <mergeCell ref="B1593:B1596"/>
    <mergeCell ref="C1593:C1596"/>
    <mergeCell ref="D1593:D1596"/>
    <mergeCell ref="E1593:E1596"/>
    <mergeCell ref="F1593:F1596"/>
    <mergeCell ref="G1593:G1596"/>
    <mergeCell ref="B1592:N1592"/>
    <mergeCell ref="D1598:H1598"/>
    <mergeCell ref="D1632:H1632"/>
    <mergeCell ref="E1633:H1633"/>
    <mergeCell ref="E1647:H1647"/>
    <mergeCell ref="D1650:H1650"/>
    <mergeCell ref="D1667:H1667"/>
    <mergeCell ref="C1597:H1597"/>
    <mergeCell ref="H1593:H1596"/>
    <mergeCell ref="I1593:I1596"/>
    <mergeCell ref="P1702:P1706"/>
    <mergeCell ref="Q1702:Q1706"/>
    <mergeCell ref="J1703:J1706"/>
    <mergeCell ref="K1703:K1706"/>
    <mergeCell ref="M1703:M1706"/>
    <mergeCell ref="N1703:N1706"/>
    <mergeCell ref="L1703:L1706"/>
    <mergeCell ref="D1670:H1670"/>
    <mergeCell ref="D1680:H1680"/>
    <mergeCell ref="G1703:G1706"/>
    <mergeCell ref="H1703:H1706"/>
    <mergeCell ref="I1703:I1706"/>
    <mergeCell ref="B1701:O1701"/>
    <mergeCell ref="O1702:O1706"/>
    <mergeCell ref="B1703:B1706"/>
    <mergeCell ref="C1703:C1706"/>
    <mergeCell ref="D1703:D1706"/>
    <mergeCell ref="E1703:E1706"/>
    <mergeCell ref="F1703:F1706"/>
    <mergeCell ref="B1702:N1702"/>
    <mergeCell ref="E1786:H1786"/>
    <mergeCell ref="E1808:H1808"/>
    <mergeCell ref="D1814:H1814"/>
    <mergeCell ref="D1836:H1836"/>
    <mergeCell ref="D1847:H1847"/>
    <mergeCell ref="D1850:H1850"/>
    <mergeCell ref="E1778:H1778"/>
    <mergeCell ref="C1707:H1707"/>
    <mergeCell ref="D1708:H1708"/>
    <mergeCell ref="E1709:H1709"/>
    <mergeCell ref="E1722:H1722"/>
    <mergeCell ref="D1730:H1730"/>
    <mergeCell ref="D1734:H1734"/>
    <mergeCell ref="D1750:H1750"/>
    <mergeCell ref="E1751:H1751"/>
    <mergeCell ref="E1765:H1765"/>
    <mergeCell ref="E1776:H1776"/>
    <mergeCell ref="D1777:H1777"/>
    <mergeCell ref="P1894:P1898"/>
    <mergeCell ref="Q1894:Q1898"/>
    <mergeCell ref="J1895:J1898"/>
    <mergeCell ref="K1895:K1898"/>
    <mergeCell ref="M1895:M1898"/>
    <mergeCell ref="N1895:N1898"/>
    <mergeCell ref="D1855:H1855"/>
    <mergeCell ref="D1870:H1870"/>
    <mergeCell ref="D1882:H1882"/>
    <mergeCell ref="C1899:H1899"/>
    <mergeCell ref="D1900:H1900"/>
    <mergeCell ref="E1901:H1901"/>
    <mergeCell ref="E1911:H1911"/>
    <mergeCell ref="E1912:H1912"/>
    <mergeCell ref="B1893:O1893"/>
    <mergeCell ref="O1894:O1898"/>
    <mergeCell ref="B1895:B1898"/>
    <mergeCell ref="C1895:C1898"/>
    <mergeCell ref="D1895:D1898"/>
    <mergeCell ref="E1895:E1898"/>
    <mergeCell ref="L1895:L1898"/>
    <mergeCell ref="F1895:F1898"/>
    <mergeCell ref="G1895:G1898"/>
    <mergeCell ref="H1895:H1898"/>
    <mergeCell ref="I1895:I1898"/>
    <mergeCell ref="B1894:N1894"/>
  </mergeCells>
  <phoneticPr fontId="1" type="noConversion"/>
  <pageMargins left="0.31496062992125984" right="0.31496062992125984" top="0.15748031496062992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B1:O1567"/>
  <sheetViews>
    <sheetView zoomScaleNormal="100" zoomScaleSheetLayoutView="80" workbookViewId="0"/>
  </sheetViews>
  <sheetFormatPr defaultRowHeight="12.75" x14ac:dyDescent="0.2"/>
  <cols>
    <col min="1" max="1" width="1" style="14" customWidth="1"/>
    <col min="2" max="2" width="6" style="14" customWidth="1"/>
    <col min="3" max="3" width="39.7109375" style="14" customWidth="1"/>
    <col min="4" max="4" width="12.85546875" style="14" customWidth="1"/>
    <col min="5" max="5" width="12.42578125" style="14" customWidth="1"/>
    <col min="6" max="6" width="12" style="14" customWidth="1"/>
    <col min="7" max="7" width="6.140625" style="14" customWidth="1"/>
    <col min="8" max="8" width="12.28515625" style="14" customWidth="1"/>
    <col min="9" max="9" width="12.140625" style="14" customWidth="1"/>
    <col min="10" max="10" width="12.5703125" style="14" customWidth="1"/>
    <col min="11" max="11" width="7.140625" style="14" customWidth="1"/>
    <col min="12" max="12" width="12.7109375" style="14" customWidth="1"/>
    <col min="13" max="13" width="12.42578125" style="14" customWidth="1"/>
    <col min="14" max="14" width="12" style="14" customWidth="1"/>
    <col min="15" max="15" width="6.42578125" style="14" customWidth="1"/>
    <col min="16" max="17" width="9.140625" style="14"/>
    <col min="18" max="18" width="12.42578125" style="14" bestFit="1" customWidth="1"/>
    <col min="19" max="19" width="13.5703125" style="14" customWidth="1"/>
    <col min="20" max="16384" width="9.140625" style="14"/>
  </cols>
  <sheetData>
    <row r="1" spans="2:15" ht="7.5" customHeight="1" x14ac:dyDescent="0.2"/>
    <row r="2" spans="2:15" s="21" customFormat="1" ht="57" customHeight="1" x14ac:dyDescent="0.2">
      <c r="B2" s="456"/>
      <c r="C2" s="457" t="s">
        <v>746</v>
      </c>
      <c r="D2" s="458" t="s">
        <v>764</v>
      </c>
      <c r="E2" s="362" t="s">
        <v>763</v>
      </c>
      <c r="F2" s="362" t="s">
        <v>744</v>
      </c>
      <c r="G2" s="363" t="s">
        <v>738</v>
      </c>
      <c r="H2" s="458" t="s">
        <v>765</v>
      </c>
      <c r="I2" s="362" t="s">
        <v>766</v>
      </c>
      <c r="J2" s="362" t="s">
        <v>745</v>
      </c>
      <c r="K2" s="363" t="s">
        <v>738</v>
      </c>
      <c r="L2" s="362" t="s">
        <v>768</v>
      </c>
      <c r="M2" s="362" t="s">
        <v>767</v>
      </c>
      <c r="N2" s="362" t="s">
        <v>747</v>
      </c>
      <c r="O2" s="364" t="s">
        <v>738</v>
      </c>
    </row>
    <row r="3" spans="2:15" s="287" customFormat="1" ht="15" x14ac:dyDescent="0.25">
      <c r="B3" s="284">
        <v>1</v>
      </c>
      <c r="C3" s="285" t="s">
        <v>348</v>
      </c>
      <c r="D3" s="286">
        <v>71335598</v>
      </c>
      <c r="E3" s="286">
        <f>'Príjmy 2024'!E339</f>
        <v>76317915</v>
      </c>
      <c r="F3" s="286">
        <f>'Príjmy 2024'!F339</f>
        <v>75405875</v>
      </c>
      <c r="G3" s="365">
        <f t="shared" ref="G3:G17" si="0">F3/E3*100</f>
        <v>98.804946387751812</v>
      </c>
      <c r="H3" s="286">
        <v>56102374</v>
      </c>
      <c r="I3" s="286">
        <f>'Príjmy 2024'!E390</f>
        <v>64092033</v>
      </c>
      <c r="J3" s="286">
        <f>'Príjmy 2024'!F390</f>
        <v>5704007</v>
      </c>
      <c r="K3" s="368">
        <f>J3/I3*100</f>
        <v>8.8997130111319773</v>
      </c>
      <c r="L3" s="286">
        <f t="shared" ref="L3:M16" si="1">D3+H3</f>
        <v>127437972</v>
      </c>
      <c r="M3" s="286">
        <f t="shared" si="1"/>
        <v>140409948</v>
      </c>
      <c r="N3" s="286">
        <f t="shared" ref="N3:N16" si="2">F3+J3</f>
        <v>81109882</v>
      </c>
      <c r="O3" s="372">
        <f>N3/M3*100</f>
        <v>57.766478198539041</v>
      </c>
    </row>
    <row r="4" spans="2:15" s="287" customFormat="1" ht="15" x14ac:dyDescent="0.25">
      <c r="B4" s="284">
        <v>2</v>
      </c>
      <c r="C4" s="285" t="s">
        <v>349</v>
      </c>
      <c r="D4" s="286">
        <f>SUM(D5:D16)</f>
        <v>70666374</v>
      </c>
      <c r="E4" s="286">
        <f>SUM(E5:E16)</f>
        <v>76000321</v>
      </c>
      <c r="F4" s="286">
        <f>SUM(F5:F16)</f>
        <v>69870539</v>
      </c>
      <c r="G4" s="365">
        <f t="shared" si="0"/>
        <v>91.934531434413287</v>
      </c>
      <c r="H4" s="286">
        <f>SUM(H5:H16)</f>
        <v>83820867</v>
      </c>
      <c r="I4" s="286">
        <f>SUM(I5:I16)</f>
        <v>91104777</v>
      </c>
      <c r="J4" s="286">
        <f>SUM(J5:J16)</f>
        <v>9781611</v>
      </c>
      <c r="K4" s="368">
        <f>J4/I4*100</f>
        <v>10.736660932719259</v>
      </c>
      <c r="L4" s="286">
        <f>D4+H4</f>
        <v>154487241</v>
      </c>
      <c r="M4" s="286">
        <f>E4+I4</f>
        <v>167105098</v>
      </c>
      <c r="N4" s="286">
        <f t="shared" si="2"/>
        <v>79652150</v>
      </c>
      <c r="O4" s="372">
        <f t="shared" ref="O4:O33" si="3">N4/M4*100</f>
        <v>47.6659006537311</v>
      </c>
    </row>
    <row r="5" spans="2:15" ht="15.75" x14ac:dyDescent="0.3">
      <c r="B5" s="284">
        <v>3</v>
      </c>
      <c r="C5" s="164" t="s">
        <v>25</v>
      </c>
      <c r="D5" s="288">
        <v>977385</v>
      </c>
      <c r="E5" s="288">
        <f>'Výdavky 2024'!I9</f>
        <v>1145707</v>
      </c>
      <c r="F5" s="288">
        <f>'Výdavky 2024'!J9</f>
        <v>868548</v>
      </c>
      <c r="G5" s="366">
        <f t="shared" si="0"/>
        <v>75.808911004296903</v>
      </c>
      <c r="H5" s="288">
        <v>1113500</v>
      </c>
      <c r="I5" s="288">
        <f>'Výdavky 2024'!L9</f>
        <v>370778</v>
      </c>
      <c r="J5" s="288">
        <f>'Výdavky 2024'!M9</f>
        <v>55110</v>
      </c>
      <c r="K5" s="369">
        <f>J5/I5*100</f>
        <v>14.863341406448063</v>
      </c>
      <c r="L5" s="288">
        <f t="shared" ref="L5:L16" si="4">D5+H5</f>
        <v>2090885</v>
      </c>
      <c r="M5" s="288">
        <f t="shared" si="1"/>
        <v>1516485</v>
      </c>
      <c r="N5" s="288">
        <f t="shared" si="2"/>
        <v>923658</v>
      </c>
      <c r="O5" s="372">
        <f t="shared" si="3"/>
        <v>60.907823024955732</v>
      </c>
    </row>
    <row r="6" spans="2:15" ht="15.75" x14ac:dyDescent="0.3">
      <c r="B6" s="284">
        <v>4</v>
      </c>
      <c r="C6" s="164" t="s">
        <v>26</v>
      </c>
      <c r="D6" s="288">
        <v>128440</v>
      </c>
      <c r="E6" s="288">
        <f>'Výdavky 2024'!I81</f>
        <v>161040</v>
      </c>
      <c r="F6" s="288">
        <f>'Výdavky 2024'!J81</f>
        <v>145452</v>
      </c>
      <c r="G6" s="366">
        <f t="shared" si="0"/>
        <v>90.320417287630406</v>
      </c>
      <c r="H6" s="288">
        <v>0</v>
      </c>
      <c r="I6" s="288">
        <f>'Výdavky 2024'!L81</f>
        <v>0</v>
      </c>
      <c r="J6" s="288">
        <f>'Výdavky 2024'!M81</f>
        <v>0</v>
      </c>
      <c r="K6" s="369"/>
      <c r="L6" s="288">
        <f t="shared" si="4"/>
        <v>128440</v>
      </c>
      <c r="M6" s="288">
        <f t="shared" si="1"/>
        <v>161040</v>
      </c>
      <c r="N6" s="288">
        <f t="shared" si="2"/>
        <v>145452</v>
      </c>
      <c r="O6" s="372">
        <f t="shared" si="3"/>
        <v>90.320417287630406</v>
      </c>
    </row>
    <row r="7" spans="2:15" ht="15.75" x14ac:dyDescent="0.3">
      <c r="B7" s="284">
        <v>5</v>
      </c>
      <c r="C7" s="164" t="s">
        <v>27</v>
      </c>
      <c r="D7" s="288">
        <v>7263625</v>
      </c>
      <c r="E7" s="288">
        <f>'Výdavky 2024'!I108</f>
        <v>7301002</v>
      </c>
      <c r="F7" s="288">
        <f>'Výdavky 2024'!J108</f>
        <v>6728410</v>
      </c>
      <c r="G7" s="366">
        <f t="shared" si="0"/>
        <v>92.1573504568277</v>
      </c>
      <c r="H7" s="288">
        <v>3299081</v>
      </c>
      <c r="I7" s="288">
        <f>'Výdavky 2024'!L108</f>
        <v>4053629</v>
      </c>
      <c r="J7" s="288">
        <f>'Výdavky 2024'!M108</f>
        <v>1270074</v>
      </c>
      <c r="K7" s="369">
        <f t="shared" ref="K7:K16" si="5">J7/I7*100</f>
        <v>31.33177703238259</v>
      </c>
      <c r="L7" s="288">
        <f t="shared" si="4"/>
        <v>10562706</v>
      </c>
      <c r="M7" s="288">
        <f t="shared" si="1"/>
        <v>11354631</v>
      </c>
      <c r="N7" s="288">
        <f t="shared" si="2"/>
        <v>7998484</v>
      </c>
      <c r="O7" s="372">
        <f t="shared" si="3"/>
        <v>70.442482895305005</v>
      </c>
    </row>
    <row r="8" spans="2:15" ht="15.75" x14ac:dyDescent="0.3">
      <c r="B8" s="284">
        <v>6</v>
      </c>
      <c r="C8" s="164" t="s">
        <v>28</v>
      </c>
      <c r="D8" s="288">
        <v>955055</v>
      </c>
      <c r="E8" s="288">
        <f>'Výdavky 2024'!I213</f>
        <v>1043795</v>
      </c>
      <c r="F8" s="288">
        <f>'Výdavky 2024'!J213</f>
        <v>903557</v>
      </c>
      <c r="G8" s="366">
        <f t="shared" si="0"/>
        <v>86.564603202736166</v>
      </c>
      <c r="H8" s="288">
        <v>310560</v>
      </c>
      <c r="I8" s="288">
        <f>'Výdavky 2024'!L213</f>
        <v>360260</v>
      </c>
      <c r="J8" s="288">
        <f>'Výdavky 2024'!M213</f>
        <v>238965</v>
      </c>
      <c r="K8" s="369">
        <f t="shared" si="5"/>
        <v>66.331260756120585</v>
      </c>
      <c r="L8" s="288">
        <f t="shared" si="4"/>
        <v>1265615</v>
      </c>
      <c r="M8" s="288">
        <f t="shared" si="1"/>
        <v>1404055</v>
      </c>
      <c r="N8" s="288">
        <f t="shared" si="2"/>
        <v>1142522</v>
      </c>
      <c r="O8" s="372">
        <f t="shared" si="3"/>
        <v>81.373023136558047</v>
      </c>
    </row>
    <row r="9" spans="2:15" ht="15.75" x14ac:dyDescent="0.3">
      <c r="B9" s="284">
        <v>7</v>
      </c>
      <c r="C9" s="164" t="s">
        <v>412</v>
      </c>
      <c r="D9" s="288">
        <v>2671049</v>
      </c>
      <c r="E9" s="288">
        <f>'Výdavky 2024'!I293</f>
        <v>2724553</v>
      </c>
      <c r="F9" s="288">
        <f>'Výdavky 2024'!J293</f>
        <v>2396552</v>
      </c>
      <c r="G9" s="366">
        <f t="shared" si="0"/>
        <v>87.961291265025849</v>
      </c>
      <c r="H9" s="288">
        <v>15018400</v>
      </c>
      <c r="I9" s="288">
        <f>'Výdavky 2024'!L293</f>
        <v>15202370</v>
      </c>
      <c r="J9" s="288">
        <f>'Výdavky 2024'!M293</f>
        <v>250876</v>
      </c>
      <c r="K9" s="369">
        <f t="shared" si="5"/>
        <v>1.6502426924223002</v>
      </c>
      <c r="L9" s="288">
        <f t="shared" si="4"/>
        <v>17689449</v>
      </c>
      <c r="M9" s="288">
        <f t="shared" si="1"/>
        <v>17926923</v>
      </c>
      <c r="N9" s="288">
        <f t="shared" si="2"/>
        <v>2647428</v>
      </c>
      <c r="O9" s="372">
        <f t="shared" si="3"/>
        <v>14.767888499325846</v>
      </c>
    </row>
    <row r="10" spans="2:15" ht="15.75" x14ac:dyDescent="0.3">
      <c r="B10" s="284">
        <v>8</v>
      </c>
      <c r="C10" s="164" t="s">
        <v>29</v>
      </c>
      <c r="D10" s="288">
        <v>7153756</v>
      </c>
      <c r="E10" s="288">
        <f>'Výdavky 2024'!I371</f>
        <v>7235830</v>
      </c>
      <c r="F10" s="288">
        <f>'Výdavky 2024'!J371</f>
        <v>6841187</v>
      </c>
      <c r="G10" s="366">
        <f t="shared" si="0"/>
        <v>94.545988504428664</v>
      </c>
      <c r="H10" s="288">
        <v>2423347</v>
      </c>
      <c r="I10" s="288">
        <f>'Výdavky 2024'!L371</f>
        <v>3474670</v>
      </c>
      <c r="J10" s="288">
        <f>'Výdavky 2024'!M371</f>
        <v>1757890</v>
      </c>
      <c r="K10" s="369">
        <f t="shared" si="5"/>
        <v>50.591566968949564</v>
      </c>
      <c r="L10" s="288">
        <f t="shared" si="4"/>
        <v>9577103</v>
      </c>
      <c r="M10" s="288">
        <f t="shared" si="1"/>
        <v>10710500</v>
      </c>
      <c r="N10" s="288">
        <f t="shared" si="2"/>
        <v>8599077</v>
      </c>
      <c r="O10" s="372">
        <f t="shared" si="3"/>
        <v>80.286419868353491</v>
      </c>
    </row>
    <row r="11" spans="2:15" ht="15.75" x14ac:dyDescent="0.3">
      <c r="B11" s="284">
        <v>9</v>
      </c>
      <c r="C11" s="164" t="s">
        <v>411</v>
      </c>
      <c r="D11" s="288">
        <v>34690214</v>
      </c>
      <c r="E11" s="288">
        <f>'Výdavky 2024'!I496</f>
        <v>37001134</v>
      </c>
      <c r="F11" s="288">
        <f>'Výdavky 2024'!J496</f>
        <v>35205419</v>
      </c>
      <c r="G11" s="366">
        <f t="shared" si="0"/>
        <v>95.146864958246951</v>
      </c>
      <c r="H11" s="288">
        <v>2522461</v>
      </c>
      <c r="I11" s="288">
        <f>'Výdavky 2024'!L496</f>
        <v>2709535</v>
      </c>
      <c r="J11" s="288">
        <f>'Výdavky 2024'!M496</f>
        <v>1133713</v>
      </c>
      <c r="K11" s="369">
        <f t="shared" si="5"/>
        <v>41.841607508299397</v>
      </c>
      <c r="L11" s="288">
        <f t="shared" si="4"/>
        <v>37212675</v>
      </c>
      <c r="M11" s="288">
        <f t="shared" si="1"/>
        <v>39710669</v>
      </c>
      <c r="N11" s="288">
        <f t="shared" si="2"/>
        <v>36339132</v>
      </c>
      <c r="O11" s="372">
        <f t="shared" si="3"/>
        <v>91.509745151863342</v>
      </c>
    </row>
    <row r="12" spans="2:15" ht="15.75" x14ac:dyDescent="0.3">
      <c r="B12" s="284">
        <v>10</v>
      </c>
      <c r="C12" s="164" t="s">
        <v>410</v>
      </c>
      <c r="D12" s="288">
        <v>3091945</v>
      </c>
      <c r="E12" s="288">
        <f>'Výdavky 2024'!I1363</f>
        <v>3129045</v>
      </c>
      <c r="F12" s="288">
        <f>'Výdavky 2024'!J1363</f>
        <v>2740779</v>
      </c>
      <c r="G12" s="366">
        <f t="shared" si="0"/>
        <v>87.591549498329357</v>
      </c>
      <c r="H12" s="288">
        <v>48452429</v>
      </c>
      <c r="I12" s="288">
        <f>'Výdavky 2024'!L1363</f>
        <v>49818701</v>
      </c>
      <c r="J12" s="288">
        <f>'Výdavky 2024'!M1363</f>
        <v>3140451</v>
      </c>
      <c r="K12" s="369">
        <f t="shared" si="5"/>
        <v>6.3037593051653431</v>
      </c>
      <c r="L12" s="288">
        <f t="shared" si="4"/>
        <v>51544374</v>
      </c>
      <c r="M12" s="288">
        <f t="shared" si="1"/>
        <v>52947746</v>
      </c>
      <c r="N12" s="288">
        <f t="shared" si="2"/>
        <v>5881230</v>
      </c>
      <c r="O12" s="372">
        <f t="shared" si="3"/>
        <v>11.107611644129289</v>
      </c>
    </row>
    <row r="13" spans="2:15" ht="15.75" x14ac:dyDescent="0.3">
      <c r="B13" s="284">
        <v>11</v>
      </c>
      <c r="C13" s="164" t="s">
        <v>30</v>
      </c>
      <c r="D13" s="288">
        <v>2102150</v>
      </c>
      <c r="E13" s="288">
        <f>'Výdavky 2024'!I1507</f>
        <v>2951370</v>
      </c>
      <c r="F13" s="288">
        <f>'Výdavky 2024'!J1507</f>
        <v>2317237</v>
      </c>
      <c r="G13" s="366">
        <f t="shared" si="0"/>
        <v>78.513944371596921</v>
      </c>
      <c r="H13" s="288">
        <v>8371139</v>
      </c>
      <c r="I13" s="288">
        <f>'Výdavky 2024'!L1507</f>
        <v>11471201</v>
      </c>
      <c r="J13" s="288">
        <f>'Výdavky 2024'!M1507</f>
        <v>222126</v>
      </c>
      <c r="K13" s="369">
        <f t="shared" si="5"/>
        <v>1.9363796345299851</v>
      </c>
      <c r="L13" s="288">
        <f t="shared" si="4"/>
        <v>10473289</v>
      </c>
      <c r="M13" s="288">
        <f t="shared" si="1"/>
        <v>14422571</v>
      </c>
      <c r="N13" s="288">
        <f t="shared" si="2"/>
        <v>2539363</v>
      </c>
      <c r="O13" s="372">
        <f t="shared" si="3"/>
        <v>17.60686773530184</v>
      </c>
    </row>
    <row r="14" spans="2:15" ht="15.75" x14ac:dyDescent="0.3">
      <c r="B14" s="284">
        <v>12</v>
      </c>
      <c r="C14" s="164" t="s">
        <v>31</v>
      </c>
      <c r="D14" s="288">
        <v>5673545</v>
      </c>
      <c r="E14" s="288">
        <f>'Výdavky 2024'!I1597</f>
        <v>5797465</v>
      </c>
      <c r="F14" s="288">
        <f>'Výdavky 2024'!J1597</f>
        <v>4963513</v>
      </c>
      <c r="G14" s="366">
        <f t="shared" si="0"/>
        <v>85.615230104882045</v>
      </c>
      <c r="H14" s="288">
        <v>817500</v>
      </c>
      <c r="I14" s="288">
        <f>'Výdavky 2024'!L1597</f>
        <v>1889473</v>
      </c>
      <c r="J14" s="288">
        <f>'Výdavky 2024'!M1597</f>
        <v>1067044</v>
      </c>
      <c r="K14" s="369">
        <f t="shared" si="5"/>
        <v>56.473101229813814</v>
      </c>
      <c r="L14" s="288">
        <f t="shared" si="4"/>
        <v>6491045</v>
      </c>
      <c r="M14" s="288">
        <f t="shared" si="1"/>
        <v>7686938</v>
      </c>
      <c r="N14" s="288">
        <f t="shared" si="2"/>
        <v>6030557</v>
      </c>
      <c r="O14" s="372">
        <f t="shared" si="3"/>
        <v>78.45200520675462</v>
      </c>
    </row>
    <row r="15" spans="2:15" ht="15.75" x14ac:dyDescent="0.3">
      <c r="B15" s="284">
        <v>13</v>
      </c>
      <c r="C15" s="164" t="s">
        <v>32</v>
      </c>
      <c r="D15" s="288">
        <v>5573950</v>
      </c>
      <c r="E15" s="288">
        <f>'Výdavky 2024'!I1707</f>
        <v>7112420</v>
      </c>
      <c r="F15" s="288">
        <f>'Výdavky 2024'!J1707</f>
        <v>6417166</v>
      </c>
      <c r="G15" s="366">
        <f t="shared" si="0"/>
        <v>90.224789874613705</v>
      </c>
      <c r="H15" s="288">
        <v>1490800</v>
      </c>
      <c r="I15" s="288">
        <f>'Výdavky 2024'!L1707</f>
        <v>1752510</v>
      </c>
      <c r="J15" s="288">
        <f>'Výdavky 2024'!M1707</f>
        <v>643726</v>
      </c>
      <c r="K15" s="369">
        <f t="shared" si="5"/>
        <v>36.731659163143149</v>
      </c>
      <c r="L15" s="288">
        <f t="shared" si="4"/>
        <v>7064750</v>
      </c>
      <c r="M15" s="288">
        <f t="shared" si="1"/>
        <v>8864930</v>
      </c>
      <c r="N15" s="288">
        <f t="shared" si="2"/>
        <v>7060892</v>
      </c>
      <c r="O15" s="372">
        <f t="shared" si="3"/>
        <v>79.649720866380221</v>
      </c>
    </row>
    <row r="16" spans="2:15" ht="15.75" x14ac:dyDescent="0.3">
      <c r="B16" s="284">
        <v>14</v>
      </c>
      <c r="C16" s="164" t="s">
        <v>33</v>
      </c>
      <c r="D16" s="288">
        <v>385260</v>
      </c>
      <c r="E16" s="288">
        <f>'Výdavky 2024'!I1899</f>
        <v>396960</v>
      </c>
      <c r="F16" s="288">
        <f>'Výdavky 2024'!J1899</f>
        <v>342719</v>
      </c>
      <c r="G16" s="366">
        <f t="shared" si="0"/>
        <v>86.33590286174929</v>
      </c>
      <c r="H16" s="288">
        <v>1650</v>
      </c>
      <c r="I16" s="288">
        <f>'Výdavky 2024'!L1899</f>
        <v>1650</v>
      </c>
      <c r="J16" s="288">
        <f>'Výdavky 2024'!M1899</f>
        <v>1636</v>
      </c>
      <c r="K16" s="369">
        <f t="shared" si="5"/>
        <v>99.151515151515142</v>
      </c>
      <c r="L16" s="288">
        <f t="shared" si="4"/>
        <v>386910</v>
      </c>
      <c r="M16" s="288">
        <f t="shared" si="1"/>
        <v>398610</v>
      </c>
      <c r="N16" s="288">
        <f t="shared" si="2"/>
        <v>344355</v>
      </c>
      <c r="O16" s="372">
        <f t="shared" si="3"/>
        <v>86.388951606833757</v>
      </c>
    </row>
    <row r="17" spans="2:15" s="292" customFormat="1" ht="15" x14ac:dyDescent="0.2">
      <c r="B17" s="289">
        <v>15</v>
      </c>
      <c r="C17" s="290" t="s">
        <v>34</v>
      </c>
      <c r="D17" s="291">
        <f>D3-D4</f>
        <v>669224</v>
      </c>
      <c r="E17" s="291">
        <f>E3-E4</f>
        <v>317594</v>
      </c>
      <c r="F17" s="291">
        <f>F3-F4</f>
        <v>5535336</v>
      </c>
      <c r="G17" s="367">
        <f t="shared" si="0"/>
        <v>1742.8969061128359</v>
      </c>
      <c r="H17" s="290"/>
      <c r="I17" s="290"/>
      <c r="J17" s="290"/>
      <c r="K17" s="370"/>
      <c r="L17" s="433"/>
      <c r="M17" s="290"/>
      <c r="N17" s="290"/>
      <c r="O17" s="372"/>
    </row>
    <row r="18" spans="2:15" s="292" customFormat="1" ht="15" x14ac:dyDescent="0.2">
      <c r="B18" s="289">
        <v>16</v>
      </c>
      <c r="C18" s="290" t="s">
        <v>461</v>
      </c>
      <c r="D18" s="290"/>
      <c r="E18" s="290"/>
      <c r="F18" s="290"/>
      <c r="G18" s="290"/>
      <c r="H18" s="291">
        <f>H3-H4</f>
        <v>-27718493</v>
      </c>
      <c r="I18" s="291">
        <f>I3-I4</f>
        <v>-27012744</v>
      </c>
      <c r="J18" s="291">
        <f>J3-J4</f>
        <v>-4077604</v>
      </c>
      <c r="K18" s="371">
        <f>J18/I18*100</f>
        <v>15.09511214410502</v>
      </c>
      <c r="L18" s="290"/>
      <c r="M18" s="290"/>
      <c r="N18" s="290"/>
      <c r="O18" s="372"/>
    </row>
    <row r="19" spans="2:15" s="292" customFormat="1" ht="15" x14ac:dyDescent="0.2">
      <c r="B19" s="293">
        <v>17</v>
      </c>
      <c r="C19" s="294" t="s">
        <v>518</v>
      </c>
      <c r="D19" s="294"/>
      <c r="E19" s="294"/>
      <c r="F19" s="294"/>
      <c r="G19" s="294"/>
      <c r="H19" s="294"/>
      <c r="I19" s="294"/>
      <c r="J19" s="294"/>
      <c r="K19" s="294"/>
      <c r="L19" s="295">
        <f>L3-L4</f>
        <v>-27049269</v>
      </c>
      <c r="M19" s="295">
        <f>M3-M4</f>
        <v>-26695150</v>
      </c>
      <c r="N19" s="295">
        <f>N3-N4</f>
        <v>1457732</v>
      </c>
      <c r="O19" s="372">
        <f>N19/M19*100</f>
        <v>-5.4606623300487174</v>
      </c>
    </row>
    <row r="20" spans="2:15" ht="15" customHeight="1" x14ac:dyDescent="0.2">
      <c r="B20" s="459"/>
      <c r="O20" s="372"/>
    </row>
    <row r="21" spans="2:15" ht="15" x14ac:dyDescent="0.2">
      <c r="B21" s="550" t="s">
        <v>109</v>
      </c>
      <c r="C21" s="551"/>
      <c r="D21" s="551"/>
      <c r="E21" s="551"/>
      <c r="F21" s="551"/>
      <c r="G21" s="551"/>
      <c r="H21" s="551"/>
      <c r="I21" s="551"/>
      <c r="J21" s="551"/>
      <c r="K21" s="551"/>
      <c r="L21" s="551"/>
      <c r="M21" s="551"/>
      <c r="N21" s="551"/>
      <c r="O21" s="552"/>
    </row>
    <row r="22" spans="2:15" s="287" customFormat="1" ht="15" x14ac:dyDescent="0.25">
      <c r="B22" s="284">
        <v>1</v>
      </c>
      <c r="C22" s="556" t="s">
        <v>35</v>
      </c>
      <c r="D22" s="556"/>
      <c r="E22" s="557"/>
      <c r="F22" s="557"/>
      <c r="G22" s="557"/>
      <c r="H22" s="557"/>
      <c r="I22" s="558"/>
      <c r="J22" s="449"/>
      <c r="K22" s="449"/>
      <c r="L22" s="450">
        <f>SUM(L23:L30)</f>
        <v>29801969</v>
      </c>
      <c r="M22" s="296">
        <f>SUM(M23:M30)</f>
        <v>30642574</v>
      </c>
      <c r="N22" s="296">
        <f>SUM(N23:N30)</f>
        <v>8955118</v>
      </c>
      <c r="O22" s="372">
        <f t="shared" si="3"/>
        <v>29.224431341831792</v>
      </c>
    </row>
    <row r="23" spans="2:15" x14ac:dyDescent="0.2">
      <c r="B23" s="284">
        <f>B22+1</f>
        <v>2</v>
      </c>
      <c r="C23" s="553" t="s">
        <v>508</v>
      </c>
      <c r="D23" s="554"/>
      <c r="E23" s="555"/>
      <c r="F23" s="555"/>
      <c r="G23" s="555"/>
      <c r="H23" s="555"/>
      <c r="I23" s="555"/>
      <c r="J23" s="299"/>
      <c r="K23" s="299"/>
      <c r="L23" s="452">
        <v>2824800</v>
      </c>
      <c r="M23" s="297">
        <f>2925000-116000+15800+1291264</f>
        <v>4116064</v>
      </c>
      <c r="N23" s="297">
        <f>3481921</f>
        <v>3481921</v>
      </c>
      <c r="O23" s="372">
        <f t="shared" si="3"/>
        <v>84.5934611317997</v>
      </c>
    </row>
    <row r="24" spans="2:15" x14ac:dyDescent="0.2">
      <c r="B24" s="284">
        <f t="shared" ref="B24:B35" si="6">B23+1</f>
        <v>3</v>
      </c>
      <c r="C24" s="553" t="s">
        <v>509</v>
      </c>
      <c r="D24" s="554"/>
      <c r="E24" s="555"/>
      <c r="F24" s="555"/>
      <c r="G24" s="555"/>
      <c r="H24" s="555"/>
      <c r="I24" s="555"/>
      <c r="J24" s="299"/>
      <c r="K24" s="299"/>
      <c r="L24" s="452">
        <v>381000</v>
      </c>
      <c r="M24" s="297">
        <v>381000</v>
      </c>
      <c r="N24" s="297">
        <v>0</v>
      </c>
      <c r="O24" s="372">
        <f t="shared" si="3"/>
        <v>0</v>
      </c>
    </row>
    <row r="25" spans="2:15" x14ac:dyDescent="0.2">
      <c r="B25" s="284">
        <f t="shared" si="6"/>
        <v>4</v>
      </c>
      <c r="C25" s="298" t="s">
        <v>562</v>
      </c>
      <c r="D25" s="359"/>
      <c r="E25" s="299"/>
      <c r="F25" s="299"/>
      <c r="G25" s="299"/>
      <c r="H25" s="299"/>
      <c r="I25" s="299"/>
      <c r="J25" s="299"/>
      <c r="K25" s="299"/>
      <c r="L25" s="452">
        <v>0</v>
      </c>
      <c r="M25" s="297">
        <v>127189</v>
      </c>
      <c r="N25" s="297">
        <v>25382</v>
      </c>
      <c r="O25" s="372">
        <f t="shared" si="3"/>
        <v>19.956128281533779</v>
      </c>
    </row>
    <row r="26" spans="2:15" x14ac:dyDescent="0.2">
      <c r="B26" s="284">
        <f t="shared" si="6"/>
        <v>5</v>
      </c>
      <c r="C26" s="444" t="s">
        <v>648</v>
      </c>
      <c r="D26" s="445"/>
      <c r="E26" s="446"/>
      <c r="F26" s="446"/>
      <c r="G26" s="446"/>
      <c r="H26" s="446"/>
      <c r="I26" s="446"/>
      <c r="J26" s="446"/>
      <c r="K26" s="446"/>
      <c r="L26" s="453">
        <v>0</v>
      </c>
      <c r="M26" s="434">
        <v>1406976</v>
      </c>
      <c r="N26" s="434">
        <v>1406937</v>
      </c>
      <c r="O26" s="435">
        <f t="shared" si="3"/>
        <v>99.997228097707421</v>
      </c>
    </row>
    <row r="27" spans="2:15" x14ac:dyDescent="0.2">
      <c r="B27" s="284">
        <f t="shared" si="6"/>
        <v>6</v>
      </c>
      <c r="C27" s="438" t="s">
        <v>649</v>
      </c>
      <c r="D27" s="439"/>
      <c r="E27" s="440"/>
      <c r="F27" s="440"/>
      <c r="G27" s="440"/>
      <c r="H27" s="440"/>
      <c r="I27" s="440"/>
      <c r="J27" s="440"/>
      <c r="K27" s="440"/>
      <c r="L27" s="454">
        <v>0</v>
      </c>
      <c r="M27" s="436">
        <v>15176</v>
      </c>
      <c r="N27" s="436">
        <v>15176</v>
      </c>
      <c r="O27" s="437">
        <f t="shared" si="3"/>
        <v>100</v>
      </c>
    </row>
    <row r="28" spans="2:15" x14ac:dyDescent="0.2">
      <c r="B28" s="284">
        <f t="shared" si="6"/>
        <v>7</v>
      </c>
      <c r="C28" s="565" t="s">
        <v>350</v>
      </c>
      <c r="D28" s="566"/>
      <c r="E28" s="567"/>
      <c r="F28" s="567"/>
      <c r="G28" s="567"/>
      <c r="H28" s="567"/>
      <c r="I28" s="567"/>
      <c r="J28" s="440"/>
      <c r="K28" s="440"/>
      <c r="L28" s="454">
        <v>5000000</v>
      </c>
      <c r="M28" s="436">
        <f>5000000-2000000</f>
        <v>3000000</v>
      </c>
      <c r="N28" s="436">
        <v>11164</v>
      </c>
      <c r="O28" s="437">
        <f t="shared" si="3"/>
        <v>0.37213333333333332</v>
      </c>
    </row>
    <row r="29" spans="2:15" x14ac:dyDescent="0.2">
      <c r="B29" s="284">
        <f t="shared" si="6"/>
        <v>8</v>
      </c>
      <c r="C29" s="438" t="s">
        <v>478</v>
      </c>
      <c r="D29" s="439"/>
      <c r="E29" s="440"/>
      <c r="F29" s="440"/>
      <c r="G29" s="440"/>
      <c r="H29" s="440"/>
      <c r="I29" s="440"/>
      <c r="J29" s="440"/>
      <c r="K29" s="440"/>
      <c r="L29" s="454">
        <v>6646169</v>
      </c>
      <c r="M29" s="436">
        <f>4222065+1090528+986386+342190+5000</f>
        <v>6646169</v>
      </c>
      <c r="N29" s="436">
        <f>4025702-N28</f>
        <v>4014538</v>
      </c>
      <c r="O29" s="437">
        <f t="shared" si="3"/>
        <v>60.403790514505431</v>
      </c>
    </row>
    <row r="30" spans="2:15" x14ac:dyDescent="0.2">
      <c r="B30" s="284">
        <f t="shared" si="6"/>
        <v>9</v>
      </c>
      <c r="C30" s="438" t="s">
        <v>423</v>
      </c>
      <c r="D30" s="439"/>
      <c r="E30" s="440"/>
      <c r="F30" s="440"/>
      <c r="G30" s="440"/>
      <c r="H30" s="440"/>
      <c r="I30" s="441"/>
      <c r="J30" s="441"/>
      <c r="K30" s="441"/>
      <c r="L30" s="454">
        <v>14950000</v>
      </c>
      <c r="M30" s="436">
        <f>148000+6440000+8362000</f>
        <v>14950000</v>
      </c>
      <c r="N30" s="436">
        <v>0</v>
      </c>
      <c r="O30" s="437">
        <f t="shared" si="3"/>
        <v>0</v>
      </c>
    </row>
    <row r="31" spans="2:15" s="287" customFormat="1" ht="15" x14ac:dyDescent="0.25">
      <c r="B31" s="284">
        <f t="shared" si="6"/>
        <v>10</v>
      </c>
      <c r="C31" s="562" t="s">
        <v>349</v>
      </c>
      <c r="D31" s="563"/>
      <c r="E31" s="564"/>
      <c r="F31" s="564"/>
      <c r="G31" s="564"/>
      <c r="H31" s="564"/>
      <c r="I31" s="564"/>
      <c r="J31" s="447"/>
      <c r="K31" s="447"/>
      <c r="L31" s="451">
        <f>L33+L34+L32</f>
        <v>2610000</v>
      </c>
      <c r="M31" s="442">
        <f>M33+M34+M32</f>
        <v>3947424</v>
      </c>
      <c r="N31" s="442">
        <f>N33+N34+N32</f>
        <v>3440197</v>
      </c>
      <c r="O31" s="443">
        <f t="shared" si="3"/>
        <v>87.150430255275339</v>
      </c>
    </row>
    <row r="32" spans="2:15" s="287" customFormat="1" ht="14.25" x14ac:dyDescent="0.2">
      <c r="B32" s="284">
        <f t="shared" si="6"/>
        <v>11</v>
      </c>
      <c r="C32" s="553" t="s">
        <v>709</v>
      </c>
      <c r="D32" s="554"/>
      <c r="E32" s="555"/>
      <c r="F32" s="555"/>
      <c r="G32" s="555"/>
      <c r="H32" s="555"/>
      <c r="I32" s="555"/>
      <c r="J32" s="299"/>
      <c r="K32" s="299"/>
      <c r="L32" s="452">
        <v>0</v>
      </c>
      <c r="M32" s="297">
        <v>1337424</v>
      </c>
      <c r="N32" s="297">
        <v>1337424</v>
      </c>
      <c r="O32" s="372">
        <f t="shared" si="3"/>
        <v>100</v>
      </c>
    </row>
    <row r="33" spans="2:15" x14ac:dyDescent="0.2">
      <c r="B33" s="284">
        <f t="shared" si="6"/>
        <v>12</v>
      </c>
      <c r="C33" s="553" t="s">
        <v>351</v>
      </c>
      <c r="D33" s="554"/>
      <c r="E33" s="555"/>
      <c r="F33" s="555"/>
      <c r="G33" s="555"/>
      <c r="H33" s="555"/>
      <c r="I33" s="555"/>
      <c r="J33" s="299"/>
      <c r="K33" s="299"/>
      <c r="L33" s="452">
        <v>2505000</v>
      </c>
      <c r="M33" s="297">
        <v>2505000</v>
      </c>
      <c r="N33" s="297">
        <v>1999823</v>
      </c>
      <c r="O33" s="372">
        <f t="shared" si="3"/>
        <v>79.83325349301397</v>
      </c>
    </row>
    <row r="34" spans="2:15" x14ac:dyDescent="0.2">
      <c r="B34" s="284">
        <f t="shared" si="6"/>
        <v>13</v>
      </c>
      <c r="C34" s="553" t="s">
        <v>352</v>
      </c>
      <c r="D34" s="554"/>
      <c r="E34" s="554"/>
      <c r="F34" s="554"/>
      <c r="G34" s="554"/>
      <c r="H34" s="554"/>
      <c r="I34" s="554"/>
      <c r="J34" s="359"/>
      <c r="K34" s="359"/>
      <c r="L34" s="455">
        <v>105000</v>
      </c>
      <c r="M34" s="297">
        <v>105000</v>
      </c>
      <c r="N34" s="297">
        <v>102950</v>
      </c>
      <c r="O34" s="372"/>
    </row>
    <row r="35" spans="2:15" s="292" customFormat="1" ht="25.5" customHeight="1" x14ac:dyDescent="0.2">
      <c r="B35" s="460">
        <f t="shared" si="6"/>
        <v>14</v>
      </c>
      <c r="C35" s="559" t="s">
        <v>36</v>
      </c>
      <c r="D35" s="560"/>
      <c r="E35" s="561"/>
      <c r="F35" s="561"/>
      <c r="G35" s="561"/>
      <c r="H35" s="561"/>
      <c r="I35" s="561"/>
      <c r="J35" s="448"/>
      <c r="K35" s="448"/>
      <c r="L35" s="300">
        <f>L19+L22-L31</f>
        <v>142700</v>
      </c>
      <c r="M35" s="300">
        <f>M19+M22-M31</f>
        <v>0</v>
      </c>
      <c r="N35" s="300">
        <f>N19+N22-N31</f>
        <v>6972653</v>
      </c>
      <c r="O35" s="461"/>
    </row>
    <row r="36" spans="2:15" s="13" customFormat="1" x14ac:dyDescent="0.2"/>
    <row r="37" spans="2:15" s="13" customFormat="1" x14ac:dyDescent="0.2"/>
    <row r="38" spans="2:15" s="13" customFormat="1" x14ac:dyDescent="0.2"/>
    <row r="39" spans="2:15" s="13" customFormat="1" x14ac:dyDescent="0.2"/>
    <row r="40" spans="2:15" s="13" customFormat="1" x14ac:dyDescent="0.2"/>
    <row r="41" spans="2:15" s="13" customFormat="1" x14ac:dyDescent="0.2"/>
    <row r="42" spans="2:15" s="13" customFormat="1" x14ac:dyDescent="0.2"/>
    <row r="43" spans="2:15" s="13" customFormat="1" x14ac:dyDescent="0.2"/>
    <row r="44" spans="2:15" s="13" customFormat="1" x14ac:dyDescent="0.2"/>
    <row r="45" spans="2:15" s="13" customFormat="1" x14ac:dyDescent="0.2"/>
    <row r="46" spans="2:15" s="13" customFormat="1" x14ac:dyDescent="0.2"/>
    <row r="47" spans="2:15" s="13" customFormat="1" x14ac:dyDescent="0.2"/>
    <row r="48" spans="2:15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  <row r="686" s="13" customFormat="1" x14ac:dyDescent="0.2"/>
    <row r="687" s="13" customFormat="1" x14ac:dyDescent="0.2"/>
    <row r="688" s="13" customFormat="1" x14ac:dyDescent="0.2"/>
    <row r="689" s="13" customFormat="1" x14ac:dyDescent="0.2"/>
    <row r="690" s="13" customFormat="1" x14ac:dyDescent="0.2"/>
    <row r="691" s="13" customFormat="1" x14ac:dyDescent="0.2"/>
    <row r="692" s="13" customFormat="1" x14ac:dyDescent="0.2"/>
    <row r="693" s="13" customFormat="1" x14ac:dyDescent="0.2"/>
    <row r="694" s="13" customFormat="1" x14ac:dyDescent="0.2"/>
    <row r="695" s="13" customFormat="1" x14ac:dyDescent="0.2"/>
    <row r="696" s="13" customFormat="1" x14ac:dyDescent="0.2"/>
    <row r="697" s="13" customFormat="1" x14ac:dyDescent="0.2"/>
    <row r="698" s="13" customFormat="1" x14ac:dyDescent="0.2"/>
    <row r="699" s="13" customFormat="1" x14ac:dyDescent="0.2"/>
    <row r="700" s="13" customFormat="1" x14ac:dyDescent="0.2"/>
    <row r="701" s="13" customFormat="1" x14ac:dyDescent="0.2"/>
    <row r="702" s="13" customFormat="1" x14ac:dyDescent="0.2"/>
    <row r="703" s="13" customFormat="1" x14ac:dyDescent="0.2"/>
    <row r="704" s="13" customFormat="1" x14ac:dyDescent="0.2"/>
    <row r="705" s="13" customFormat="1" x14ac:dyDescent="0.2"/>
    <row r="706" s="13" customFormat="1" x14ac:dyDescent="0.2"/>
    <row r="707" s="13" customFormat="1" x14ac:dyDescent="0.2"/>
    <row r="708" s="13" customFormat="1" x14ac:dyDescent="0.2"/>
    <row r="709" s="13" customFormat="1" x14ac:dyDescent="0.2"/>
    <row r="710" s="13" customFormat="1" x14ac:dyDescent="0.2"/>
    <row r="711" s="13" customFormat="1" x14ac:dyDescent="0.2"/>
    <row r="712" s="13" customFormat="1" x14ac:dyDescent="0.2"/>
    <row r="713" s="13" customFormat="1" x14ac:dyDescent="0.2"/>
    <row r="714" s="13" customFormat="1" x14ac:dyDescent="0.2"/>
    <row r="715" s="13" customFormat="1" x14ac:dyDescent="0.2"/>
    <row r="716" s="13" customFormat="1" x14ac:dyDescent="0.2"/>
    <row r="717" s="13" customFormat="1" x14ac:dyDescent="0.2"/>
    <row r="718" s="13" customFormat="1" x14ac:dyDescent="0.2"/>
    <row r="719" s="13" customFormat="1" x14ac:dyDescent="0.2"/>
    <row r="720" s="13" customFormat="1" x14ac:dyDescent="0.2"/>
    <row r="721" s="13" customFormat="1" x14ac:dyDescent="0.2"/>
    <row r="722" s="13" customFormat="1" x14ac:dyDescent="0.2"/>
    <row r="723" s="13" customFormat="1" x14ac:dyDescent="0.2"/>
    <row r="724" s="13" customFormat="1" x14ac:dyDescent="0.2"/>
    <row r="725" s="13" customFormat="1" x14ac:dyDescent="0.2"/>
    <row r="726" s="13" customFormat="1" x14ac:dyDescent="0.2"/>
    <row r="727" s="13" customFormat="1" x14ac:dyDescent="0.2"/>
    <row r="728" s="13" customFormat="1" x14ac:dyDescent="0.2"/>
    <row r="729" s="13" customFormat="1" x14ac:dyDescent="0.2"/>
    <row r="730" s="13" customFormat="1" x14ac:dyDescent="0.2"/>
    <row r="731" s="13" customFormat="1" x14ac:dyDescent="0.2"/>
    <row r="732" s="13" customFormat="1" x14ac:dyDescent="0.2"/>
    <row r="733" s="13" customFormat="1" x14ac:dyDescent="0.2"/>
    <row r="734" s="13" customFormat="1" x14ac:dyDescent="0.2"/>
    <row r="735" s="13" customFormat="1" x14ac:dyDescent="0.2"/>
    <row r="736" s="13" customFormat="1" x14ac:dyDescent="0.2"/>
    <row r="737" s="13" customFormat="1" x14ac:dyDescent="0.2"/>
    <row r="738" s="13" customFormat="1" x14ac:dyDescent="0.2"/>
    <row r="739" s="13" customFormat="1" x14ac:dyDescent="0.2"/>
    <row r="740" s="13" customFormat="1" x14ac:dyDescent="0.2"/>
    <row r="741" s="13" customFormat="1" x14ac:dyDescent="0.2"/>
    <row r="742" s="13" customFormat="1" x14ac:dyDescent="0.2"/>
    <row r="743" s="13" customFormat="1" x14ac:dyDescent="0.2"/>
    <row r="744" s="13" customFormat="1" x14ac:dyDescent="0.2"/>
    <row r="745" s="13" customFormat="1" x14ac:dyDescent="0.2"/>
    <row r="746" s="13" customFormat="1" x14ac:dyDescent="0.2"/>
    <row r="747" s="13" customFormat="1" x14ac:dyDescent="0.2"/>
    <row r="748" s="13" customFormat="1" x14ac:dyDescent="0.2"/>
    <row r="749" s="13" customFormat="1" x14ac:dyDescent="0.2"/>
    <row r="750" s="13" customFormat="1" x14ac:dyDescent="0.2"/>
    <row r="751" s="13" customFormat="1" x14ac:dyDescent="0.2"/>
    <row r="752" s="13" customFormat="1" x14ac:dyDescent="0.2"/>
    <row r="753" s="13" customFormat="1" x14ac:dyDescent="0.2"/>
    <row r="754" s="13" customFormat="1" x14ac:dyDescent="0.2"/>
    <row r="755" s="13" customFormat="1" x14ac:dyDescent="0.2"/>
    <row r="756" s="13" customFormat="1" x14ac:dyDescent="0.2"/>
    <row r="757" s="13" customFormat="1" x14ac:dyDescent="0.2"/>
    <row r="758" s="13" customFormat="1" x14ac:dyDescent="0.2"/>
    <row r="759" s="13" customFormat="1" x14ac:dyDescent="0.2"/>
    <row r="760" s="13" customFormat="1" x14ac:dyDescent="0.2"/>
    <row r="761" s="13" customFormat="1" x14ac:dyDescent="0.2"/>
    <row r="762" s="13" customFormat="1" x14ac:dyDescent="0.2"/>
    <row r="763" s="13" customFormat="1" x14ac:dyDescent="0.2"/>
    <row r="764" s="13" customFormat="1" x14ac:dyDescent="0.2"/>
    <row r="765" s="13" customFormat="1" x14ac:dyDescent="0.2"/>
    <row r="766" s="13" customFormat="1" x14ac:dyDescent="0.2"/>
    <row r="767" s="13" customFormat="1" x14ac:dyDescent="0.2"/>
    <row r="768" s="13" customFormat="1" x14ac:dyDescent="0.2"/>
    <row r="769" s="13" customFormat="1" x14ac:dyDescent="0.2"/>
    <row r="770" s="13" customFormat="1" x14ac:dyDescent="0.2"/>
    <row r="771" s="13" customFormat="1" x14ac:dyDescent="0.2"/>
    <row r="772" s="13" customFormat="1" x14ac:dyDescent="0.2"/>
    <row r="773" s="13" customFormat="1" x14ac:dyDescent="0.2"/>
    <row r="774" s="13" customFormat="1" x14ac:dyDescent="0.2"/>
    <row r="775" s="13" customFormat="1" x14ac:dyDescent="0.2"/>
    <row r="776" s="13" customFormat="1" x14ac:dyDescent="0.2"/>
    <row r="777" s="13" customFormat="1" x14ac:dyDescent="0.2"/>
    <row r="778" s="13" customFormat="1" x14ac:dyDescent="0.2"/>
    <row r="779" s="13" customFormat="1" x14ac:dyDescent="0.2"/>
    <row r="780" s="13" customFormat="1" x14ac:dyDescent="0.2"/>
    <row r="781" s="13" customFormat="1" x14ac:dyDescent="0.2"/>
    <row r="782" s="13" customFormat="1" x14ac:dyDescent="0.2"/>
    <row r="783" s="13" customFormat="1" x14ac:dyDescent="0.2"/>
    <row r="784" s="13" customFormat="1" x14ac:dyDescent="0.2"/>
    <row r="785" s="13" customFormat="1" x14ac:dyDescent="0.2"/>
    <row r="786" s="13" customFormat="1" x14ac:dyDescent="0.2"/>
    <row r="787" s="13" customFormat="1" x14ac:dyDescent="0.2"/>
    <row r="788" s="13" customFormat="1" x14ac:dyDescent="0.2"/>
    <row r="789" s="13" customFormat="1" x14ac:dyDescent="0.2"/>
    <row r="790" s="13" customFormat="1" x14ac:dyDescent="0.2"/>
    <row r="791" s="13" customFormat="1" x14ac:dyDescent="0.2"/>
    <row r="792" s="13" customFormat="1" x14ac:dyDescent="0.2"/>
    <row r="793" s="13" customFormat="1" x14ac:dyDescent="0.2"/>
    <row r="794" s="13" customFormat="1" x14ac:dyDescent="0.2"/>
    <row r="795" s="13" customFormat="1" x14ac:dyDescent="0.2"/>
    <row r="796" s="13" customFormat="1" x14ac:dyDescent="0.2"/>
    <row r="797" s="13" customFormat="1" x14ac:dyDescent="0.2"/>
    <row r="798" s="13" customFormat="1" x14ac:dyDescent="0.2"/>
    <row r="799" s="13" customFormat="1" x14ac:dyDescent="0.2"/>
    <row r="800" s="13" customFormat="1" x14ac:dyDescent="0.2"/>
    <row r="801" s="13" customFormat="1" x14ac:dyDescent="0.2"/>
    <row r="802" s="13" customFormat="1" x14ac:dyDescent="0.2"/>
    <row r="803" s="13" customFormat="1" x14ac:dyDescent="0.2"/>
    <row r="804" s="13" customFormat="1" x14ac:dyDescent="0.2"/>
    <row r="805" s="13" customFormat="1" x14ac:dyDescent="0.2"/>
    <row r="806" s="13" customFormat="1" x14ac:dyDescent="0.2"/>
    <row r="807" s="13" customFormat="1" x14ac:dyDescent="0.2"/>
    <row r="808" s="13" customFormat="1" x14ac:dyDescent="0.2"/>
    <row r="809" s="13" customFormat="1" x14ac:dyDescent="0.2"/>
    <row r="810" s="13" customFormat="1" x14ac:dyDescent="0.2"/>
    <row r="811" s="13" customFormat="1" x14ac:dyDescent="0.2"/>
    <row r="812" s="13" customFormat="1" x14ac:dyDescent="0.2"/>
    <row r="813" s="13" customFormat="1" x14ac:dyDescent="0.2"/>
    <row r="814" s="13" customFormat="1" x14ac:dyDescent="0.2"/>
    <row r="815" s="13" customFormat="1" x14ac:dyDescent="0.2"/>
    <row r="816" s="13" customFormat="1" x14ac:dyDescent="0.2"/>
    <row r="817" s="13" customFormat="1" x14ac:dyDescent="0.2"/>
    <row r="818" s="13" customFormat="1" x14ac:dyDescent="0.2"/>
    <row r="819" s="13" customFormat="1" x14ac:dyDescent="0.2"/>
    <row r="820" s="13" customFormat="1" x14ac:dyDescent="0.2"/>
    <row r="821" s="13" customFormat="1" x14ac:dyDescent="0.2"/>
    <row r="822" s="13" customFormat="1" x14ac:dyDescent="0.2"/>
    <row r="823" s="13" customFormat="1" x14ac:dyDescent="0.2"/>
    <row r="824" s="13" customFormat="1" x14ac:dyDescent="0.2"/>
    <row r="825" s="13" customFormat="1" x14ac:dyDescent="0.2"/>
    <row r="826" s="13" customFormat="1" x14ac:dyDescent="0.2"/>
    <row r="827" s="13" customFormat="1" x14ac:dyDescent="0.2"/>
    <row r="828" s="13" customFormat="1" x14ac:dyDescent="0.2"/>
    <row r="829" s="13" customFormat="1" x14ac:dyDescent="0.2"/>
    <row r="830" s="13" customFormat="1" x14ac:dyDescent="0.2"/>
    <row r="831" s="13" customFormat="1" x14ac:dyDescent="0.2"/>
    <row r="832" s="13" customFormat="1" x14ac:dyDescent="0.2"/>
    <row r="833" s="13" customFormat="1" x14ac:dyDescent="0.2"/>
    <row r="834" s="13" customFormat="1" x14ac:dyDescent="0.2"/>
    <row r="835" s="13" customFormat="1" x14ac:dyDescent="0.2"/>
    <row r="836" s="13" customFormat="1" x14ac:dyDescent="0.2"/>
    <row r="837" s="13" customFormat="1" x14ac:dyDescent="0.2"/>
    <row r="838" s="13" customFormat="1" x14ac:dyDescent="0.2"/>
    <row r="839" s="13" customFormat="1" x14ac:dyDescent="0.2"/>
    <row r="840" s="13" customFormat="1" x14ac:dyDescent="0.2"/>
    <row r="841" s="13" customFormat="1" x14ac:dyDescent="0.2"/>
    <row r="842" s="13" customFormat="1" x14ac:dyDescent="0.2"/>
    <row r="843" s="13" customFormat="1" x14ac:dyDescent="0.2"/>
    <row r="844" s="13" customFormat="1" x14ac:dyDescent="0.2"/>
    <row r="845" s="13" customFormat="1" x14ac:dyDescent="0.2"/>
    <row r="846" s="13" customFormat="1" x14ac:dyDescent="0.2"/>
    <row r="847" s="13" customFormat="1" x14ac:dyDescent="0.2"/>
    <row r="848" s="13" customFormat="1" x14ac:dyDescent="0.2"/>
    <row r="849" s="13" customFormat="1" x14ac:dyDescent="0.2"/>
    <row r="850" s="13" customFormat="1" x14ac:dyDescent="0.2"/>
    <row r="851" s="13" customFormat="1" x14ac:dyDescent="0.2"/>
    <row r="852" s="13" customFormat="1" x14ac:dyDescent="0.2"/>
    <row r="853" s="13" customFormat="1" x14ac:dyDescent="0.2"/>
    <row r="854" s="13" customFormat="1" x14ac:dyDescent="0.2"/>
    <row r="855" s="13" customFormat="1" x14ac:dyDescent="0.2"/>
    <row r="856" s="13" customFormat="1" x14ac:dyDescent="0.2"/>
    <row r="857" s="13" customFormat="1" x14ac:dyDescent="0.2"/>
    <row r="858" s="13" customFormat="1" x14ac:dyDescent="0.2"/>
    <row r="859" s="13" customFormat="1" x14ac:dyDescent="0.2"/>
    <row r="860" s="13" customFormat="1" x14ac:dyDescent="0.2"/>
    <row r="861" s="13" customFormat="1" x14ac:dyDescent="0.2"/>
    <row r="862" s="13" customFormat="1" x14ac:dyDescent="0.2"/>
    <row r="863" s="13" customFormat="1" x14ac:dyDescent="0.2"/>
    <row r="864" s="13" customFormat="1" x14ac:dyDescent="0.2"/>
    <row r="865" s="13" customFormat="1" x14ac:dyDescent="0.2"/>
    <row r="866" s="13" customFormat="1" x14ac:dyDescent="0.2"/>
    <row r="867" s="13" customFormat="1" x14ac:dyDescent="0.2"/>
    <row r="868" s="13" customFormat="1" x14ac:dyDescent="0.2"/>
    <row r="869" s="13" customFormat="1" x14ac:dyDescent="0.2"/>
    <row r="870" s="13" customFormat="1" x14ac:dyDescent="0.2"/>
    <row r="871" s="13" customFormat="1" x14ac:dyDescent="0.2"/>
    <row r="872" s="13" customFormat="1" x14ac:dyDescent="0.2"/>
    <row r="873" s="13" customFormat="1" x14ac:dyDescent="0.2"/>
    <row r="874" s="13" customFormat="1" x14ac:dyDescent="0.2"/>
    <row r="875" s="13" customFormat="1" x14ac:dyDescent="0.2"/>
    <row r="876" s="13" customFormat="1" x14ac:dyDescent="0.2"/>
    <row r="877" s="13" customFormat="1" x14ac:dyDescent="0.2"/>
    <row r="878" s="13" customFormat="1" x14ac:dyDescent="0.2"/>
    <row r="879" s="13" customFormat="1" x14ac:dyDescent="0.2"/>
    <row r="880" s="13" customFormat="1" x14ac:dyDescent="0.2"/>
    <row r="881" s="13" customFormat="1" x14ac:dyDescent="0.2"/>
    <row r="882" s="13" customFormat="1" x14ac:dyDescent="0.2"/>
    <row r="883" s="13" customFormat="1" x14ac:dyDescent="0.2"/>
    <row r="884" s="13" customFormat="1" x14ac:dyDescent="0.2"/>
    <row r="885" s="13" customFormat="1" x14ac:dyDescent="0.2"/>
    <row r="886" s="13" customFormat="1" x14ac:dyDescent="0.2"/>
    <row r="887" s="13" customFormat="1" x14ac:dyDescent="0.2"/>
    <row r="888" s="13" customFormat="1" x14ac:dyDescent="0.2"/>
    <row r="889" s="13" customFormat="1" x14ac:dyDescent="0.2"/>
    <row r="890" s="13" customFormat="1" x14ac:dyDescent="0.2"/>
    <row r="891" s="13" customFormat="1" x14ac:dyDescent="0.2"/>
    <row r="892" s="13" customFormat="1" x14ac:dyDescent="0.2"/>
    <row r="893" s="13" customFormat="1" x14ac:dyDescent="0.2"/>
    <row r="894" s="13" customFormat="1" x14ac:dyDescent="0.2"/>
    <row r="895" s="13" customFormat="1" x14ac:dyDescent="0.2"/>
    <row r="896" s="13" customFormat="1" x14ac:dyDescent="0.2"/>
    <row r="897" s="13" customFormat="1" x14ac:dyDescent="0.2"/>
    <row r="898" s="13" customFormat="1" x14ac:dyDescent="0.2"/>
    <row r="899" s="13" customFormat="1" x14ac:dyDescent="0.2"/>
    <row r="900" s="13" customFormat="1" x14ac:dyDescent="0.2"/>
    <row r="901" s="13" customFormat="1" x14ac:dyDescent="0.2"/>
    <row r="902" s="13" customFormat="1" x14ac:dyDescent="0.2"/>
    <row r="903" s="13" customFormat="1" x14ac:dyDescent="0.2"/>
    <row r="904" s="13" customFormat="1" x14ac:dyDescent="0.2"/>
    <row r="905" s="13" customFormat="1" x14ac:dyDescent="0.2"/>
    <row r="906" s="13" customFormat="1" x14ac:dyDescent="0.2"/>
    <row r="907" s="13" customFormat="1" x14ac:dyDescent="0.2"/>
    <row r="908" s="13" customFormat="1" x14ac:dyDescent="0.2"/>
    <row r="909" s="13" customFormat="1" x14ac:dyDescent="0.2"/>
    <row r="910" s="13" customFormat="1" x14ac:dyDescent="0.2"/>
    <row r="911" s="13" customFormat="1" x14ac:dyDescent="0.2"/>
    <row r="912" s="13" customFormat="1" x14ac:dyDescent="0.2"/>
    <row r="913" s="13" customFormat="1" x14ac:dyDescent="0.2"/>
    <row r="914" s="13" customFormat="1" x14ac:dyDescent="0.2"/>
    <row r="915" s="13" customFormat="1" x14ac:dyDescent="0.2"/>
    <row r="916" s="13" customFormat="1" x14ac:dyDescent="0.2"/>
    <row r="917" s="13" customFormat="1" x14ac:dyDescent="0.2"/>
    <row r="918" s="13" customFormat="1" x14ac:dyDescent="0.2"/>
    <row r="919" s="13" customFormat="1" x14ac:dyDescent="0.2"/>
    <row r="920" s="13" customFormat="1" x14ac:dyDescent="0.2"/>
    <row r="921" s="13" customFormat="1" x14ac:dyDescent="0.2"/>
    <row r="922" s="13" customFormat="1" x14ac:dyDescent="0.2"/>
    <row r="923" s="13" customFormat="1" x14ac:dyDescent="0.2"/>
    <row r="924" s="13" customFormat="1" x14ac:dyDescent="0.2"/>
    <row r="925" s="13" customFormat="1" x14ac:dyDescent="0.2"/>
    <row r="926" s="13" customFormat="1" x14ac:dyDescent="0.2"/>
    <row r="927" s="13" customFormat="1" x14ac:dyDescent="0.2"/>
    <row r="928" s="13" customFormat="1" x14ac:dyDescent="0.2"/>
    <row r="929" s="13" customFormat="1" x14ac:dyDescent="0.2"/>
    <row r="930" s="13" customFormat="1" x14ac:dyDescent="0.2"/>
    <row r="931" s="13" customFormat="1" x14ac:dyDescent="0.2"/>
    <row r="932" s="13" customFormat="1" x14ac:dyDescent="0.2"/>
    <row r="933" s="13" customFormat="1" x14ac:dyDescent="0.2"/>
    <row r="934" s="13" customFormat="1" x14ac:dyDescent="0.2"/>
    <row r="935" s="13" customFormat="1" x14ac:dyDescent="0.2"/>
    <row r="936" s="13" customFormat="1" x14ac:dyDescent="0.2"/>
    <row r="937" s="13" customFormat="1" x14ac:dyDescent="0.2"/>
    <row r="938" s="13" customFormat="1" x14ac:dyDescent="0.2"/>
    <row r="939" s="13" customFormat="1" x14ac:dyDescent="0.2"/>
    <row r="940" s="13" customFormat="1" x14ac:dyDescent="0.2"/>
    <row r="941" s="13" customFormat="1" x14ac:dyDescent="0.2"/>
    <row r="942" s="13" customFormat="1" x14ac:dyDescent="0.2"/>
    <row r="943" s="13" customFormat="1" x14ac:dyDescent="0.2"/>
    <row r="944" s="13" customFormat="1" x14ac:dyDescent="0.2"/>
    <row r="945" s="13" customFormat="1" x14ac:dyDescent="0.2"/>
    <row r="946" s="13" customFormat="1" x14ac:dyDescent="0.2"/>
    <row r="947" s="13" customFormat="1" x14ac:dyDescent="0.2"/>
    <row r="948" s="13" customFormat="1" x14ac:dyDescent="0.2"/>
    <row r="949" s="13" customFormat="1" x14ac:dyDescent="0.2"/>
    <row r="950" s="13" customFormat="1" x14ac:dyDescent="0.2"/>
    <row r="951" s="13" customFormat="1" x14ac:dyDescent="0.2"/>
    <row r="952" s="13" customFormat="1" x14ac:dyDescent="0.2"/>
    <row r="953" s="13" customFormat="1" x14ac:dyDescent="0.2"/>
    <row r="954" s="13" customFormat="1" x14ac:dyDescent="0.2"/>
    <row r="955" s="13" customFormat="1" x14ac:dyDescent="0.2"/>
    <row r="956" s="13" customFormat="1" x14ac:dyDescent="0.2"/>
    <row r="957" s="13" customFormat="1" x14ac:dyDescent="0.2"/>
    <row r="958" s="13" customFormat="1" x14ac:dyDescent="0.2"/>
    <row r="959" s="13" customFormat="1" x14ac:dyDescent="0.2"/>
    <row r="960" s="13" customFormat="1" x14ac:dyDescent="0.2"/>
    <row r="961" s="13" customFormat="1" x14ac:dyDescent="0.2"/>
    <row r="962" s="13" customFormat="1" x14ac:dyDescent="0.2"/>
    <row r="963" s="13" customFormat="1" x14ac:dyDescent="0.2"/>
    <row r="964" s="13" customFormat="1" x14ac:dyDescent="0.2"/>
    <row r="965" s="13" customFormat="1" x14ac:dyDescent="0.2"/>
    <row r="966" s="13" customFormat="1" x14ac:dyDescent="0.2"/>
    <row r="967" s="13" customFormat="1" x14ac:dyDescent="0.2"/>
    <row r="968" s="13" customFormat="1" x14ac:dyDescent="0.2"/>
    <row r="969" s="13" customFormat="1" x14ac:dyDescent="0.2"/>
    <row r="970" s="13" customFormat="1" x14ac:dyDescent="0.2"/>
    <row r="971" s="13" customFormat="1" x14ac:dyDescent="0.2"/>
    <row r="972" s="13" customFormat="1" x14ac:dyDescent="0.2"/>
    <row r="973" s="13" customFormat="1" x14ac:dyDescent="0.2"/>
    <row r="974" s="13" customFormat="1" x14ac:dyDescent="0.2"/>
    <row r="975" s="13" customFormat="1" x14ac:dyDescent="0.2"/>
    <row r="976" s="13" customFormat="1" x14ac:dyDescent="0.2"/>
    <row r="977" s="13" customFormat="1" x14ac:dyDescent="0.2"/>
    <row r="978" s="13" customFormat="1" x14ac:dyDescent="0.2"/>
    <row r="979" s="13" customFormat="1" x14ac:dyDescent="0.2"/>
    <row r="980" s="13" customFormat="1" x14ac:dyDescent="0.2"/>
    <row r="981" s="13" customFormat="1" x14ac:dyDescent="0.2"/>
    <row r="982" s="13" customFormat="1" x14ac:dyDescent="0.2"/>
    <row r="983" s="13" customFormat="1" x14ac:dyDescent="0.2"/>
    <row r="984" s="13" customFormat="1" x14ac:dyDescent="0.2"/>
    <row r="985" s="13" customFormat="1" x14ac:dyDescent="0.2"/>
    <row r="986" s="13" customFormat="1" x14ac:dyDescent="0.2"/>
    <row r="987" s="13" customFormat="1" x14ac:dyDescent="0.2"/>
    <row r="988" s="13" customFormat="1" x14ac:dyDescent="0.2"/>
    <row r="989" s="13" customFormat="1" x14ac:dyDescent="0.2"/>
    <row r="990" s="13" customFormat="1" x14ac:dyDescent="0.2"/>
    <row r="991" s="13" customFormat="1" x14ac:dyDescent="0.2"/>
    <row r="992" s="13" customFormat="1" x14ac:dyDescent="0.2"/>
    <row r="993" s="13" customFormat="1" x14ac:dyDescent="0.2"/>
    <row r="994" s="13" customFormat="1" x14ac:dyDescent="0.2"/>
    <row r="995" s="13" customFormat="1" x14ac:dyDescent="0.2"/>
    <row r="996" s="13" customFormat="1" x14ac:dyDescent="0.2"/>
    <row r="997" s="13" customFormat="1" x14ac:dyDescent="0.2"/>
    <row r="998" s="13" customFormat="1" x14ac:dyDescent="0.2"/>
    <row r="999" s="13" customFormat="1" x14ac:dyDescent="0.2"/>
    <row r="1000" s="13" customFormat="1" x14ac:dyDescent="0.2"/>
    <row r="1001" s="13" customFormat="1" x14ac:dyDescent="0.2"/>
    <row r="1002" s="13" customFormat="1" x14ac:dyDescent="0.2"/>
    <row r="1003" s="13" customFormat="1" x14ac:dyDescent="0.2"/>
    <row r="1004" s="13" customFormat="1" x14ac:dyDescent="0.2"/>
    <row r="1005" s="13" customFormat="1" x14ac:dyDescent="0.2"/>
    <row r="1006" s="13" customFormat="1" x14ac:dyDescent="0.2"/>
    <row r="1007" s="13" customFormat="1" x14ac:dyDescent="0.2"/>
    <row r="1008" s="13" customFormat="1" x14ac:dyDescent="0.2"/>
    <row r="1009" s="13" customFormat="1" x14ac:dyDescent="0.2"/>
    <row r="1010" s="13" customFormat="1" x14ac:dyDescent="0.2"/>
    <row r="1011" s="13" customFormat="1" x14ac:dyDescent="0.2"/>
    <row r="1012" s="13" customFormat="1" x14ac:dyDescent="0.2"/>
    <row r="1013" s="13" customFormat="1" x14ac:dyDescent="0.2"/>
    <row r="1014" s="13" customFormat="1" x14ac:dyDescent="0.2"/>
    <row r="1015" s="13" customFormat="1" x14ac:dyDescent="0.2"/>
    <row r="1016" s="13" customFormat="1" x14ac:dyDescent="0.2"/>
    <row r="1017" s="13" customFormat="1" x14ac:dyDescent="0.2"/>
    <row r="1018" s="13" customFormat="1" x14ac:dyDescent="0.2"/>
    <row r="1019" s="13" customFormat="1" x14ac:dyDescent="0.2"/>
    <row r="1020" s="13" customFormat="1" x14ac:dyDescent="0.2"/>
    <row r="1021" s="13" customFormat="1" x14ac:dyDescent="0.2"/>
    <row r="1022" s="13" customFormat="1" x14ac:dyDescent="0.2"/>
    <row r="1023" s="13" customFormat="1" x14ac:dyDescent="0.2"/>
    <row r="1024" s="13" customFormat="1" x14ac:dyDescent="0.2"/>
    <row r="1025" s="13" customFormat="1" x14ac:dyDescent="0.2"/>
    <row r="1026" s="13" customFormat="1" x14ac:dyDescent="0.2"/>
    <row r="1027" s="13" customFormat="1" x14ac:dyDescent="0.2"/>
    <row r="1028" s="13" customFormat="1" x14ac:dyDescent="0.2"/>
    <row r="1029" s="13" customFormat="1" x14ac:dyDescent="0.2"/>
    <row r="1030" s="13" customFormat="1" x14ac:dyDescent="0.2"/>
    <row r="1031" s="13" customFormat="1" x14ac:dyDescent="0.2"/>
    <row r="1032" s="13" customFormat="1" x14ac:dyDescent="0.2"/>
    <row r="1033" s="13" customFormat="1" x14ac:dyDescent="0.2"/>
    <row r="1034" s="13" customFormat="1" x14ac:dyDescent="0.2"/>
    <row r="1035" s="13" customFormat="1" x14ac:dyDescent="0.2"/>
    <row r="1036" s="13" customFormat="1" x14ac:dyDescent="0.2"/>
    <row r="1037" s="13" customFormat="1" x14ac:dyDescent="0.2"/>
    <row r="1038" s="13" customFormat="1" x14ac:dyDescent="0.2"/>
    <row r="1039" s="13" customFormat="1" x14ac:dyDescent="0.2"/>
    <row r="1040" s="13" customFormat="1" x14ac:dyDescent="0.2"/>
    <row r="1041" s="13" customFormat="1" x14ac:dyDescent="0.2"/>
    <row r="1042" s="13" customFormat="1" x14ac:dyDescent="0.2"/>
    <row r="1043" s="13" customFormat="1" x14ac:dyDescent="0.2"/>
    <row r="1044" s="13" customFormat="1" x14ac:dyDescent="0.2"/>
    <row r="1045" s="13" customFormat="1" x14ac:dyDescent="0.2"/>
    <row r="1046" s="13" customFormat="1" x14ac:dyDescent="0.2"/>
    <row r="1047" s="13" customFormat="1" x14ac:dyDescent="0.2"/>
    <row r="1048" s="13" customFormat="1" x14ac:dyDescent="0.2"/>
    <row r="1049" s="13" customFormat="1" x14ac:dyDescent="0.2"/>
    <row r="1050" s="13" customFormat="1" x14ac:dyDescent="0.2"/>
    <row r="1051" s="13" customFormat="1" x14ac:dyDescent="0.2"/>
    <row r="1052" s="13" customFormat="1" x14ac:dyDescent="0.2"/>
    <row r="1053" s="13" customFormat="1" x14ac:dyDescent="0.2"/>
    <row r="1054" s="13" customFormat="1" x14ac:dyDescent="0.2"/>
    <row r="1055" s="13" customFormat="1" x14ac:dyDescent="0.2"/>
    <row r="1056" s="13" customFormat="1" x14ac:dyDescent="0.2"/>
    <row r="1057" s="13" customFormat="1" x14ac:dyDescent="0.2"/>
    <row r="1058" s="13" customFormat="1" x14ac:dyDescent="0.2"/>
    <row r="1059" s="13" customFormat="1" x14ac:dyDescent="0.2"/>
    <row r="1060" s="13" customFormat="1" x14ac:dyDescent="0.2"/>
    <row r="1061" s="13" customFormat="1" x14ac:dyDescent="0.2"/>
    <row r="1062" s="13" customFormat="1" x14ac:dyDescent="0.2"/>
    <row r="1063" s="13" customFormat="1" x14ac:dyDescent="0.2"/>
    <row r="1064" s="13" customFormat="1" x14ac:dyDescent="0.2"/>
    <row r="1065" s="13" customFormat="1" x14ac:dyDescent="0.2"/>
    <row r="1066" s="13" customFormat="1" x14ac:dyDescent="0.2"/>
    <row r="1067" s="13" customFormat="1" x14ac:dyDescent="0.2"/>
    <row r="1068" s="13" customFormat="1" x14ac:dyDescent="0.2"/>
    <row r="1069" s="13" customFormat="1" x14ac:dyDescent="0.2"/>
    <row r="1070" s="13" customFormat="1" x14ac:dyDescent="0.2"/>
    <row r="1071" s="13" customFormat="1" x14ac:dyDescent="0.2"/>
    <row r="1072" s="13" customFormat="1" x14ac:dyDescent="0.2"/>
    <row r="1073" s="13" customFormat="1" x14ac:dyDescent="0.2"/>
    <row r="1074" s="13" customFormat="1" x14ac:dyDescent="0.2"/>
    <row r="1075" s="13" customFormat="1" x14ac:dyDescent="0.2"/>
    <row r="1076" s="13" customFormat="1" x14ac:dyDescent="0.2"/>
    <row r="1077" s="13" customFormat="1" x14ac:dyDescent="0.2"/>
    <row r="1078" s="13" customFormat="1" x14ac:dyDescent="0.2"/>
    <row r="1079" s="13" customFormat="1" x14ac:dyDescent="0.2"/>
    <row r="1080" s="13" customFormat="1" x14ac:dyDescent="0.2"/>
    <row r="1081" s="13" customFormat="1" x14ac:dyDescent="0.2"/>
    <row r="1082" s="13" customFormat="1" x14ac:dyDescent="0.2"/>
    <row r="1083" s="13" customFormat="1" x14ac:dyDescent="0.2"/>
    <row r="1084" s="13" customFormat="1" x14ac:dyDescent="0.2"/>
    <row r="1085" s="13" customFormat="1" x14ac:dyDescent="0.2"/>
    <row r="1086" s="13" customFormat="1" x14ac:dyDescent="0.2"/>
    <row r="1087" s="13" customFormat="1" x14ac:dyDescent="0.2"/>
    <row r="1088" s="13" customFormat="1" x14ac:dyDescent="0.2"/>
    <row r="1089" s="13" customFormat="1" x14ac:dyDescent="0.2"/>
    <row r="1090" s="13" customFormat="1" x14ac:dyDescent="0.2"/>
    <row r="1091" s="13" customFormat="1" x14ac:dyDescent="0.2"/>
    <row r="1092" s="13" customFormat="1" x14ac:dyDescent="0.2"/>
    <row r="1093" s="13" customFormat="1" x14ac:dyDescent="0.2"/>
    <row r="1094" s="13" customFormat="1" x14ac:dyDescent="0.2"/>
    <row r="1095" s="13" customFormat="1" x14ac:dyDescent="0.2"/>
    <row r="1096" s="13" customFormat="1" x14ac:dyDescent="0.2"/>
    <row r="1097" s="13" customFormat="1" x14ac:dyDescent="0.2"/>
    <row r="1098" s="13" customFormat="1" x14ac:dyDescent="0.2"/>
    <row r="1099" s="13" customFormat="1" x14ac:dyDescent="0.2"/>
    <row r="1100" s="13" customFormat="1" x14ac:dyDescent="0.2"/>
    <row r="1101" s="13" customFormat="1" x14ac:dyDescent="0.2"/>
    <row r="1102" s="13" customFormat="1" x14ac:dyDescent="0.2"/>
    <row r="1103" s="13" customFormat="1" x14ac:dyDescent="0.2"/>
    <row r="1104" s="13" customFormat="1" x14ac:dyDescent="0.2"/>
    <row r="1105" s="13" customFormat="1" x14ac:dyDescent="0.2"/>
    <row r="1106" s="13" customFormat="1" x14ac:dyDescent="0.2"/>
    <row r="1107" s="13" customFormat="1" x14ac:dyDescent="0.2"/>
    <row r="1108" s="13" customFormat="1" x14ac:dyDescent="0.2"/>
    <row r="1109" s="13" customFormat="1" x14ac:dyDescent="0.2"/>
    <row r="1110" s="13" customFormat="1" x14ac:dyDescent="0.2"/>
    <row r="1111" s="13" customFormat="1" x14ac:dyDescent="0.2"/>
    <row r="1112" s="13" customFormat="1" x14ac:dyDescent="0.2"/>
    <row r="1113" s="13" customFormat="1" x14ac:dyDescent="0.2"/>
    <row r="1114" s="13" customFormat="1" x14ac:dyDescent="0.2"/>
    <row r="1115" s="13" customFormat="1" x14ac:dyDescent="0.2"/>
    <row r="1116" s="13" customFormat="1" x14ac:dyDescent="0.2"/>
    <row r="1117" s="13" customFormat="1" x14ac:dyDescent="0.2"/>
    <row r="1118" s="13" customFormat="1" x14ac:dyDescent="0.2"/>
    <row r="1119" s="13" customFormat="1" x14ac:dyDescent="0.2"/>
    <row r="1120" s="13" customFormat="1" x14ac:dyDescent="0.2"/>
    <row r="1121" s="13" customFormat="1" x14ac:dyDescent="0.2"/>
    <row r="1122" s="13" customFormat="1" x14ac:dyDescent="0.2"/>
    <row r="1123" s="13" customFormat="1" x14ac:dyDescent="0.2"/>
    <row r="1124" s="13" customFormat="1" x14ac:dyDescent="0.2"/>
    <row r="1125" s="13" customFormat="1" x14ac:dyDescent="0.2"/>
    <row r="1126" s="13" customFormat="1" x14ac:dyDescent="0.2"/>
    <row r="1127" s="13" customFormat="1" x14ac:dyDescent="0.2"/>
    <row r="1128" s="13" customFormat="1" x14ac:dyDescent="0.2"/>
    <row r="1129" s="13" customFormat="1" x14ac:dyDescent="0.2"/>
    <row r="1130" s="13" customFormat="1" x14ac:dyDescent="0.2"/>
    <row r="1131" s="13" customFormat="1" x14ac:dyDescent="0.2"/>
    <row r="1132" s="13" customFormat="1" x14ac:dyDescent="0.2"/>
    <row r="1133" s="13" customFormat="1" x14ac:dyDescent="0.2"/>
    <row r="1134" s="13" customFormat="1" x14ac:dyDescent="0.2"/>
    <row r="1135" s="13" customFormat="1" x14ac:dyDescent="0.2"/>
    <row r="1136" s="13" customFormat="1" x14ac:dyDescent="0.2"/>
    <row r="1137" s="13" customFormat="1" x14ac:dyDescent="0.2"/>
    <row r="1138" s="13" customFormat="1" x14ac:dyDescent="0.2"/>
    <row r="1139" s="13" customFormat="1" x14ac:dyDescent="0.2"/>
    <row r="1140" s="13" customFormat="1" x14ac:dyDescent="0.2"/>
    <row r="1141" s="13" customFormat="1" x14ac:dyDescent="0.2"/>
    <row r="1142" s="13" customFormat="1" x14ac:dyDescent="0.2"/>
    <row r="1143" s="13" customFormat="1" x14ac:dyDescent="0.2"/>
    <row r="1144" s="13" customFormat="1" x14ac:dyDescent="0.2"/>
    <row r="1145" s="13" customFormat="1" x14ac:dyDescent="0.2"/>
    <row r="1146" s="13" customFormat="1" x14ac:dyDescent="0.2"/>
    <row r="1147" s="13" customFormat="1" x14ac:dyDescent="0.2"/>
    <row r="1148" s="13" customFormat="1" x14ac:dyDescent="0.2"/>
    <row r="1149" s="13" customFormat="1" x14ac:dyDescent="0.2"/>
    <row r="1150" s="13" customFormat="1" x14ac:dyDescent="0.2"/>
    <row r="1151" s="13" customFormat="1" x14ac:dyDescent="0.2"/>
    <row r="1152" s="13" customFormat="1" x14ac:dyDescent="0.2"/>
    <row r="1153" s="13" customFormat="1" x14ac:dyDescent="0.2"/>
    <row r="1154" s="13" customFormat="1" x14ac:dyDescent="0.2"/>
    <row r="1155" s="13" customFormat="1" x14ac:dyDescent="0.2"/>
    <row r="1156" s="13" customFormat="1" x14ac:dyDescent="0.2"/>
    <row r="1157" s="13" customFormat="1" x14ac:dyDescent="0.2"/>
    <row r="1158" s="13" customFormat="1" x14ac:dyDescent="0.2"/>
    <row r="1159" s="13" customFormat="1" x14ac:dyDescent="0.2"/>
    <row r="1160" s="13" customFormat="1" x14ac:dyDescent="0.2"/>
    <row r="1161" s="13" customFormat="1" x14ac:dyDescent="0.2"/>
    <row r="1162" s="13" customFormat="1" x14ac:dyDescent="0.2"/>
    <row r="1163" s="13" customFormat="1" x14ac:dyDescent="0.2"/>
    <row r="1164" s="13" customFormat="1" x14ac:dyDescent="0.2"/>
    <row r="1165" s="13" customFormat="1" x14ac:dyDescent="0.2"/>
    <row r="1166" s="13" customFormat="1" x14ac:dyDescent="0.2"/>
    <row r="1167" s="13" customFormat="1" x14ac:dyDescent="0.2"/>
    <row r="1168" s="13" customFormat="1" x14ac:dyDescent="0.2"/>
    <row r="1169" s="13" customFormat="1" x14ac:dyDescent="0.2"/>
    <row r="1170" s="13" customFormat="1" x14ac:dyDescent="0.2"/>
    <row r="1171" s="13" customFormat="1" x14ac:dyDescent="0.2"/>
    <row r="1172" s="13" customFormat="1" x14ac:dyDescent="0.2"/>
    <row r="1173" s="13" customFormat="1" x14ac:dyDescent="0.2"/>
    <row r="1174" s="13" customFormat="1" x14ac:dyDescent="0.2"/>
    <row r="1175" s="13" customFormat="1" x14ac:dyDescent="0.2"/>
    <row r="1176" s="13" customFormat="1" x14ac:dyDescent="0.2"/>
    <row r="1177" s="13" customFormat="1" x14ac:dyDescent="0.2"/>
    <row r="1178" s="13" customFormat="1" x14ac:dyDescent="0.2"/>
    <row r="1179" s="13" customFormat="1" x14ac:dyDescent="0.2"/>
    <row r="1180" s="13" customFormat="1" x14ac:dyDescent="0.2"/>
    <row r="1181" s="13" customFormat="1" x14ac:dyDescent="0.2"/>
    <row r="1182" s="13" customFormat="1" x14ac:dyDescent="0.2"/>
    <row r="1183" s="13" customFormat="1" x14ac:dyDescent="0.2"/>
    <row r="1184" s="13" customFormat="1" x14ac:dyDescent="0.2"/>
    <row r="1185" s="13" customFormat="1" x14ac:dyDescent="0.2"/>
    <row r="1186" s="13" customFormat="1" x14ac:dyDescent="0.2"/>
    <row r="1187" s="13" customFormat="1" x14ac:dyDescent="0.2"/>
    <row r="1188" s="13" customFormat="1" x14ac:dyDescent="0.2"/>
    <row r="1189" s="13" customFormat="1" x14ac:dyDescent="0.2"/>
    <row r="1190" s="13" customFormat="1" x14ac:dyDescent="0.2"/>
    <row r="1191" s="13" customFormat="1" x14ac:dyDescent="0.2"/>
    <row r="1192" s="13" customFormat="1" x14ac:dyDescent="0.2"/>
    <row r="1193" s="13" customFormat="1" x14ac:dyDescent="0.2"/>
    <row r="1194" s="13" customFormat="1" x14ac:dyDescent="0.2"/>
    <row r="1195" s="13" customFormat="1" x14ac:dyDescent="0.2"/>
    <row r="1196" s="13" customFormat="1" x14ac:dyDescent="0.2"/>
    <row r="1197" s="13" customFormat="1" x14ac:dyDescent="0.2"/>
    <row r="1198" s="13" customFormat="1" x14ac:dyDescent="0.2"/>
    <row r="1199" s="13" customFormat="1" x14ac:dyDescent="0.2"/>
    <row r="1200" s="13" customFormat="1" x14ac:dyDescent="0.2"/>
    <row r="1201" s="13" customFormat="1" x14ac:dyDescent="0.2"/>
    <row r="1202" s="13" customFormat="1" x14ac:dyDescent="0.2"/>
    <row r="1203" s="13" customFormat="1" x14ac:dyDescent="0.2"/>
    <row r="1204" s="13" customFormat="1" x14ac:dyDescent="0.2"/>
    <row r="1205" s="13" customFormat="1" x14ac:dyDescent="0.2"/>
    <row r="1206" s="13" customFormat="1" x14ac:dyDescent="0.2"/>
    <row r="1207" s="13" customFormat="1" x14ac:dyDescent="0.2"/>
    <row r="1208" s="13" customFormat="1" x14ac:dyDescent="0.2"/>
    <row r="1209" s="13" customFormat="1" x14ac:dyDescent="0.2"/>
    <row r="1210" s="13" customFormat="1" x14ac:dyDescent="0.2"/>
    <row r="1211" s="13" customFormat="1" x14ac:dyDescent="0.2"/>
    <row r="1212" s="13" customFormat="1" x14ac:dyDescent="0.2"/>
    <row r="1213" s="13" customFormat="1" x14ac:dyDescent="0.2"/>
    <row r="1214" s="13" customFormat="1" x14ac:dyDescent="0.2"/>
    <row r="1215" s="13" customFormat="1" x14ac:dyDescent="0.2"/>
    <row r="1216" s="13" customFormat="1" x14ac:dyDescent="0.2"/>
    <row r="1217" s="13" customFormat="1" x14ac:dyDescent="0.2"/>
    <row r="1218" s="13" customFormat="1" x14ac:dyDescent="0.2"/>
    <row r="1219" s="13" customFormat="1" x14ac:dyDescent="0.2"/>
    <row r="1220" s="13" customFormat="1" x14ac:dyDescent="0.2"/>
    <row r="1221" s="13" customFormat="1" x14ac:dyDescent="0.2"/>
    <row r="1222" s="13" customFormat="1" x14ac:dyDescent="0.2"/>
    <row r="1223" s="13" customFormat="1" x14ac:dyDescent="0.2"/>
    <row r="1224" s="13" customFormat="1" x14ac:dyDescent="0.2"/>
    <row r="1225" s="13" customFormat="1" x14ac:dyDescent="0.2"/>
    <row r="1226" s="13" customFormat="1" x14ac:dyDescent="0.2"/>
    <row r="1227" s="13" customFormat="1" x14ac:dyDescent="0.2"/>
    <row r="1228" s="13" customFormat="1" x14ac:dyDescent="0.2"/>
    <row r="1229" s="13" customFormat="1" x14ac:dyDescent="0.2"/>
    <row r="1230" s="13" customFormat="1" x14ac:dyDescent="0.2"/>
    <row r="1231" s="13" customFormat="1" x14ac:dyDescent="0.2"/>
    <row r="1232" s="13" customFormat="1" x14ac:dyDescent="0.2"/>
    <row r="1233" s="13" customFormat="1" x14ac:dyDescent="0.2"/>
    <row r="1234" s="13" customFormat="1" x14ac:dyDescent="0.2"/>
    <row r="1235" s="13" customFormat="1" x14ac:dyDescent="0.2"/>
    <row r="1236" s="13" customFormat="1" x14ac:dyDescent="0.2"/>
    <row r="1237" s="13" customFormat="1" x14ac:dyDescent="0.2"/>
    <row r="1238" s="13" customFormat="1" x14ac:dyDescent="0.2"/>
    <row r="1239" s="13" customFormat="1" x14ac:dyDescent="0.2"/>
    <row r="1240" s="13" customFormat="1" x14ac:dyDescent="0.2"/>
    <row r="1241" s="13" customFormat="1" x14ac:dyDescent="0.2"/>
    <row r="1242" s="13" customFormat="1" x14ac:dyDescent="0.2"/>
    <row r="1243" s="13" customFormat="1" x14ac:dyDescent="0.2"/>
    <row r="1244" s="13" customFormat="1" x14ac:dyDescent="0.2"/>
    <row r="1245" s="13" customFormat="1" x14ac:dyDescent="0.2"/>
    <row r="1246" s="13" customFormat="1" x14ac:dyDescent="0.2"/>
    <row r="1247" s="13" customFormat="1" x14ac:dyDescent="0.2"/>
    <row r="1248" s="13" customFormat="1" x14ac:dyDescent="0.2"/>
    <row r="1249" s="13" customFormat="1" x14ac:dyDescent="0.2"/>
    <row r="1250" s="13" customFormat="1" x14ac:dyDescent="0.2"/>
    <row r="1251" s="13" customFormat="1" x14ac:dyDescent="0.2"/>
    <row r="1252" s="13" customFormat="1" x14ac:dyDescent="0.2"/>
    <row r="1253" s="13" customFormat="1" x14ac:dyDescent="0.2"/>
    <row r="1254" s="13" customFormat="1" x14ac:dyDescent="0.2"/>
    <row r="1255" s="13" customFormat="1" x14ac:dyDescent="0.2"/>
    <row r="1256" s="13" customFormat="1" x14ac:dyDescent="0.2"/>
    <row r="1257" s="13" customFormat="1" x14ac:dyDescent="0.2"/>
    <row r="1258" s="13" customFormat="1" x14ac:dyDescent="0.2"/>
    <row r="1259" s="13" customFormat="1" x14ac:dyDescent="0.2"/>
    <row r="1260" s="13" customFormat="1" x14ac:dyDescent="0.2"/>
    <row r="1261" s="13" customFormat="1" x14ac:dyDescent="0.2"/>
    <row r="1262" s="13" customFormat="1" x14ac:dyDescent="0.2"/>
    <row r="1263" s="13" customFormat="1" x14ac:dyDescent="0.2"/>
    <row r="1264" s="13" customFormat="1" x14ac:dyDescent="0.2"/>
    <row r="1265" s="13" customFormat="1" x14ac:dyDescent="0.2"/>
    <row r="1266" s="13" customFormat="1" x14ac:dyDescent="0.2"/>
    <row r="1267" s="13" customFormat="1" x14ac:dyDescent="0.2"/>
    <row r="1268" s="13" customFormat="1" x14ac:dyDescent="0.2"/>
    <row r="1269" s="13" customFormat="1" x14ac:dyDescent="0.2"/>
    <row r="1270" s="13" customFormat="1" x14ac:dyDescent="0.2"/>
    <row r="1271" s="13" customFormat="1" x14ac:dyDescent="0.2"/>
    <row r="1272" s="13" customFormat="1" x14ac:dyDescent="0.2"/>
    <row r="1273" s="13" customFormat="1" x14ac:dyDescent="0.2"/>
    <row r="1274" s="13" customFormat="1" x14ac:dyDescent="0.2"/>
    <row r="1275" s="13" customFormat="1" x14ac:dyDescent="0.2"/>
    <row r="1276" s="13" customFormat="1" x14ac:dyDescent="0.2"/>
    <row r="1277" s="13" customFormat="1" x14ac:dyDescent="0.2"/>
    <row r="1278" s="13" customFormat="1" x14ac:dyDescent="0.2"/>
    <row r="1279" s="13" customFormat="1" x14ac:dyDescent="0.2"/>
    <row r="1280" s="13" customFormat="1" x14ac:dyDescent="0.2"/>
    <row r="1281" s="13" customFormat="1" x14ac:dyDescent="0.2"/>
    <row r="1282" s="13" customFormat="1" x14ac:dyDescent="0.2"/>
    <row r="1283" s="13" customFormat="1" x14ac:dyDescent="0.2"/>
    <row r="1284" s="13" customFormat="1" x14ac:dyDescent="0.2"/>
    <row r="1285" s="13" customFormat="1" x14ac:dyDescent="0.2"/>
    <row r="1286" s="13" customFormat="1" x14ac:dyDescent="0.2"/>
    <row r="1287" s="13" customFormat="1" x14ac:dyDescent="0.2"/>
    <row r="1288" s="13" customFormat="1" x14ac:dyDescent="0.2"/>
    <row r="1289" s="13" customFormat="1" x14ac:dyDescent="0.2"/>
    <row r="1290" s="13" customFormat="1" x14ac:dyDescent="0.2"/>
    <row r="1291" s="13" customFormat="1" x14ac:dyDescent="0.2"/>
    <row r="1292" s="13" customFormat="1" x14ac:dyDescent="0.2"/>
    <row r="1293" s="13" customFormat="1" x14ac:dyDescent="0.2"/>
    <row r="1294" s="13" customFormat="1" x14ac:dyDescent="0.2"/>
    <row r="1295" s="13" customFormat="1" x14ac:dyDescent="0.2"/>
    <row r="1296" s="13" customFormat="1" x14ac:dyDescent="0.2"/>
    <row r="1297" s="13" customFormat="1" x14ac:dyDescent="0.2"/>
    <row r="1298" s="13" customFormat="1" x14ac:dyDescent="0.2"/>
    <row r="1299" s="13" customFormat="1" x14ac:dyDescent="0.2"/>
    <row r="1300" s="13" customFormat="1" x14ac:dyDescent="0.2"/>
    <row r="1301" s="13" customFormat="1" x14ac:dyDescent="0.2"/>
    <row r="1302" s="13" customFormat="1" x14ac:dyDescent="0.2"/>
    <row r="1303" s="13" customFormat="1" x14ac:dyDescent="0.2"/>
    <row r="1304" s="13" customFormat="1" x14ac:dyDescent="0.2"/>
    <row r="1305" s="13" customFormat="1" x14ac:dyDescent="0.2"/>
    <row r="1306" s="13" customFormat="1" x14ac:dyDescent="0.2"/>
    <row r="1307" s="13" customFormat="1" x14ac:dyDescent="0.2"/>
    <row r="1308" s="13" customFormat="1" x14ac:dyDescent="0.2"/>
    <row r="1309" s="13" customFormat="1" x14ac:dyDescent="0.2"/>
    <row r="1310" s="13" customFormat="1" x14ac:dyDescent="0.2"/>
    <row r="1311" s="13" customFormat="1" x14ac:dyDescent="0.2"/>
    <row r="1312" s="13" customFormat="1" x14ac:dyDescent="0.2"/>
    <row r="1313" s="13" customFormat="1" x14ac:dyDescent="0.2"/>
    <row r="1314" s="13" customFormat="1" x14ac:dyDescent="0.2"/>
    <row r="1315" s="13" customFormat="1" x14ac:dyDescent="0.2"/>
    <row r="1316" s="13" customFormat="1" x14ac:dyDescent="0.2"/>
    <row r="1317" s="13" customFormat="1" x14ac:dyDescent="0.2"/>
    <row r="1318" s="13" customFormat="1" x14ac:dyDescent="0.2"/>
    <row r="1319" s="13" customFormat="1" x14ac:dyDescent="0.2"/>
    <row r="1320" s="13" customFormat="1" x14ac:dyDescent="0.2"/>
    <row r="1321" s="13" customFormat="1" x14ac:dyDescent="0.2"/>
    <row r="1322" s="13" customFormat="1" x14ac:dyDescent="0.2"/>
    <row r="1323" s="13" customFormat="1" x14ac:dyDescent="0.2"/>
    <row r="1324" s="13" customFormat="1" x14ac:dyDescent="0.2"/>
    <row r="1325" s="13" customFormat="1" x14ac:dyDescent="0.2"/>
    <row r="1326" s="13" customFormat="1" x14ac:dyDescent="0.2"/>
    <row r="1327" s="13" customFormat="1" x14ac:dyDescent="0.2"/>
    <row r="1328" s="13" customFormat="1" x14ac:dyDescent="0.2"/>
    <row r="1329" s="13" customFormat="1" x14ac:dyDescent="0.2"/>
    <row r="1330" s="13" customFormat="1" x14ac:dyDescent="0.2"/>
    <row r="1331" s="13" customFormat="1" x14ac:dyDescent="0.2"/>
    <row r="1332" s="13" customFormat="1" x14ac:dyDescent="0.2"/>
    <row r="1333" s="13" customFormat="1" x14ac:dyDescent="0.2"/>
    <row r="1334" s="13" customFormat="1" x14ac:dyDescent="0.2"/>
    <row r="1335" s="13" customFormat="1" x14ac:dyDescent="0.2"/>
    <row r="1336" s="13" customFormat="1" x14ac:dyDescent="0.2"/>
    <row r="1337" s="13" customFormat="1" x14ac:dyDescent="0.2"/>
    <row r="1338" s="13" customFormat="1" x14ac:dyDescent="0.2"/>
    <row r="1339" s="13" customFormat="1" x14ac:dyDescent="0.2"/>
    <row r="1340" s="13" customFormat="1" x14ac:dyDescent="0.2"/>
    <row r="1341" s="13" customFormat="1" x14ac:dyDescent="0.2"/>
    <row r="1342" s="13" customFormat="1" x14ac:dyDescent="0.2"/>
    <row r="1343" s="13" customFormat="1" x14ac:dyDescent="0.2"/>
    <row r="1344" s="13" customFormat="1" x14ac:dyDescent="0.2"/>
    <row r="1345" s="13" customFormat="1" x14ac:dyDescent="0.2"/>
    <row r="1346" s="13" customFormat="1" x14ac:dyDescent="0.2"/>
    <row r="1347" s="13" customFormat="1" x14ac:dyDescent="0.2"/>
    <row r="1348" s="13" customFormat="1" x14ac:dyDescent="0.2"/>
    <row r="1349" s="13" customFormat="1" x14ac:dyDescent="0.2"/>
    <row r="1350" s="13" customFormat="1" x14ac:dyDescent="0.2"/>
    <row r="1351" s="13" customFormat="1" x14ac:dyDescent="0.2"/>
    <row r="1352" s="13" customFormat="1" x14ac:dyDescent="0.2"/>
    <row r="1353" s="13" customFormat="1" x14ac:dyDescent="0.2"/>
    <row r="1354" s="13" customFormat="1" x14ac:dyDescent="0.2"/>
    <row r="1355" s="13" customFormat="1" x14ac:dyDescent="0.2"/>
    <row r="1356" s="13" customFormat="1" x14ac:dyDescent="0.2"/>
    <row r="1357" s="13" customFormat="1" x14ac:dyDescent="0.2"/>
    <row r="1358" s="13" customFormat="1" x14ac:dyDescent="0.2"/>
    <row r="1359" s="13" customFormat="1" x14ac:dyDescent="0.2"/>
    <row r="1360" s="13" customFormat="1" x14ac:dyDescent="0.2"/>
    <row r="1361" s="13" customFormat="1" x14ac:dyDescent="0.2"/>
    <row r="1362" s="13" customFormat="1" x14ac:dyDescent="0.2"/>
    <row r="1363" s="13" customFormat="1" x14ac:dyDescent="0.2"/>
    <row r="1364" s="13" customFormat="1" x14ac:dyDescent="0.2"/>
    <row r="1365" s="13" customFormat="1" x14ac:dyDescent="0.2"/>
    <row r="1366" s="13" customFormat="1" x14ac:dyDescent="0.2"/>
    <row r="1367" s="13" customFormat="1" x14ac:dyDescent="0.2"/>
    <row r="1368" s="13" customFormat="1" x14ac:dyDescent="0.2"/>
    <row r="1369" s="13" customFormat="1" x14ac:dyDescent="0.2"/>
    <row r="1370" s="13" customFormat="1" x14ac:dyDescent="0.2"/>
    <row r="1371" s="13" customFormat="1" x14ac:dyDescent="0.2"/>
    <row r="1372" s="13" customFormat="1" x14ac:dyDescent="0.2"/>
    <row r="1373" s="13" customFormat="1" x14ac:dyDescent="0.2"/>
    <row r="1374" s="13" customFormat="1" x14ac:dyDescent="0.2"/>
    <row r="1375" s="13" customFormat="1" x14ac:dyDescent="0.2"/>
    <row r="1376" s="13" customFormat="1" x14ac:dyDescent="0.2"/>
    <row r="1377" s="13" customFormat="1" x14ac:dyDescent="0.2"/>
    <row r="1378" s="13" customFormat="1" x14ac:dyDescent="0.2"/>
    <row r="1379" s="13" customFormat="1" x14ac:dyDescent="0.2"/>
    <row r="1380" s="13" customFormat="1" x14ac:dyDescent="0.2"/>
    <row r="1381" s="13" customFormat="1" x14ac:dyDescent="0.2"/>
    <row r="1382" s="13" customFormat="1" x14ac:dyDescent="0.2"/>
    <row r="1383" s="13" customFormat="1" x14ac:dyDescent="0.2"/>
    <row r="1384" s="13" customFormat="1" x14ac:dyDescent="0.2"/>
    <row r="1385" s="13" customFormat="1" x14ac:dyDescent="0.2"/>
    <row r="1386" s="13" customFormat="1" x14ac:dyDescent="0.2"/>
    <row r="1387" s="13" customFormat="1" x14ac:dyDescent="0.2"/>
    <row r="1388" s="13" customFormat="1" x14ac:dyDescent="0.2"/>
    <row r="1389" s="13" customFormat="1" x14ac:dyDescent="0.2"/>
    <row r="1390" s="13" customFormat="1" x14ac:dyDescent="0.2"/>
    <row r="1391" s="13" customFormat="1" x14ac:dyDescent="0.2"/>
    <row r="1392" s="13" customFormat="1" x14ac:dyDescent="0.2"/>
    <row r="1393" s="13" customFormat="1" x14ac:dyDescent="0.2"/>
    <row r="1394" s="13" customFormat="1" x14ac:dyDescent="0.2"/>
    <row r="1395" s="13" customFormat="1" x14ac:dyDescent="0.2"/>
    <row r="1396" s="13" customFormat="1" x14ac:dyDescent="0.2"/>
    <row r="1397" s="13" customFormat="1" x14ac:dyDescent="0.2"/>
    <row r="1398" s="13" customFormat="1" x14ac:dyDescent="0.2"/>
    <row r="1399" s="13" customFormat="1" x14ac:dyDescent="0.2"/>
    <row r="1400" s="13" customFormat="1" x14ac:dyDescent="0.2"/>
    <row r="1401" s="13" customFormat="1" x14ac:dyDescent="0.2"/>
    <row r="1402" s="13" customFormat="1" x14ac:dyDescent="0.2"/>
    <row r="1403" s="13" customFormat="1" x14ac:dyDescent="0.2"/>
    <row r="1404" s="13" customFormat="1" x14ac:dyDescent="0.2"/>
    <row r="1405" s="13" customFormat="1" x14ac:dyDescent="0.2"/>
    <row r="1406" s="13" customFormat="1" x14ac:dyDescent="0.2"/>
    <row r="1407" s="13" customFormat="1" x14ac:dyDescent="0.2"/>
    <row r="1408" s="13" customFormat="1" x14ac:dyDescent="0.2"/>
    <row r="1409" s="13" customFormat="1" x14ac:dyDescent="0.2"/>
    <row r="1410" s="13" customFormat="1" x14ac:dyDescent="0.2"/>
    <row r="1411" s="13" customFormat="1" x14ac:dyDescent="0.2"/>
    <row r="1412" s="13" customFormat="1" x14ac:dyDescent="0.2"/>
    <row r="1413" s="13" customFormat="1" x14ac:dyDescent="0.2"/>
    <row r="1414" s="13" customFormat="1" x14ac:dyDescent="0.2"/>
    <row r="1415" s="13" customFormat="1" x14ac:dyDescent="0.2"/>
    <row r="1416" s="13" customFormat="1" x14ac:dyDescent="0.2"/>
    <row r="1417" s="13" customFormat="1" x14ac:dyDescent="0.2"/>
    <row r="1418" s="13" customFormat="1" x14ac:dyDescent="0.2"/>
    <row r="1419" s="13" customFormat="1" x14ac:dyDescent="0.2"/>
    <row r="1420" s="13" customFormat="1" x14ac:dyDescent="0.2"/>
    <row r="1421" s="13" customFormat="1" x14ac:dyDescent="0.2"/>
    <row r="1422" s="13" customFormat="1" x14ac:dyDescent="0.2"/>
    <row r="1423" s="13" customFormat="1" x14ac:dyDescent="0.2"/>
    <row r="1424" s="13" customFormat="1" x14ac:dyDescent="0.2"/>
    <row r="1425" s="13" customFormat="1" x14ac:dyDescent="0.2"/>
    <row r="1426" s="13" customFormat="1" x14ac:dyDescent="0.2"/>
    <row r="1427" s="13" customFormat="1" x14ac:dyDescent="0.2"/>
    <row r="1428" s="13" customFormat="1" x14ac:dyDescent="0.2"/>
    <row r="1429" s="13" customFormat="1" x14ac:dyDescent="0.2"/>
    <row r="1430" s="13" customFormat="1" x14ac:dyDescent="0.2"/>
    <row r="1431" s="13" customFormat="1" x14ac:dyDescent="0.2"/>
    <row r="1432" s="13" customFormat="1" x14ac:dyDescent="0.2"/>
    <row r="1433" s="13" customFormat="1" x14ac:dyDescent="0.2"/>
    <row r="1434" s="13" customFormat="1" x14ac:dyDescent="0.2"/>
    <row r="1435" s="13" customFormat="1" x14ac:dyDescent="0.2"/>
    <row r="1436" s="13" customFormat="1" x14ac:dyDescent="0.2"/>
    <row r="1437" s="13" customFormat="1" x14ac:dyDescent="0.2"/>
    <row r="1438" s="13" customFormat="1" x14ac:dyDescent="0.2"/>
    <row r="1439" s="13" customFormat="1" x14ac:dyDescent="0.2"/>
    <row r="1440" s="13" customFormat="1" x14ac:dyDescent="0.2"/>
    <row r="1441" s="13" customFormat="1" x14ac:dyDescent="0.2"/>
    <row r="1442" s="13" customFormat="1" x14ac:dyDescent="0.2"/>
    <row r="1443" s="13" customFormat="1" x14ac:dyDescent="0.2"/>
    <row r="1444" s="13" customFormat="1" x14ac:dyDescent="0.2"/>
    <row r="1445" s="13" customFormat="1" x14ac:dyDescent="0.2"/>
    <row r="1446" s="13" customFormat="1" x14ac:dyDescent="0.2"/>
    <row r="1447" s="13" customFormat="1" x14ac:dyDescent="0.2"/>
    <row r="1448" s="13" customFormat="1" x14ac:dyDescent="0.2"/>
    <row r="1449" s="13" customFormat="1" x14ac:dyDescent="0.2"/>
    <row r="1450" s="13" customFormat="1" x14ac:dyDescent="0.2"/>
    <row r="1451" s="13" customFormat="1" x14ac:dyDescent="0.2"/>
    <row r="1452" s="13" customFormat="1" x14ac:dyDescent="0.2"/>
    <row r="1453" s="13" customFormat="1" x14ac:dyDescent="0.2"/>
    <row r="1454" s="13" customFormat="1" x14ac:dyDescent="0.2"/>
    <row r="1455" s="13" customFormat="1" x14ac:dyDescent="0.2"/>
    <row r="1456" s="13" customFormat="1" x14ac:dyDescent="0.2"/>
    <row r="1457" s="13" customFormat="1" x14ac:dyDescent="0.2"/>
    <row r="1458" s="13" customFormat="1" x14ac:dyDescent="0.2"/>
    <row r="1459" s="13" customFormat="1" x14ac:dyDescent="0.2"/>
    <row r="1460" s="13" customFormat="1" x14ac:dyDescent="0.2"/>
    <row r="1461" s="13" customFormat="1" x14ac:dyDescent="0.2"/>
    <row r="1462" s="13" customFormat="1" x14ac:dyDescent="0.2"/>
    <row r="1463" s="13" customFormat="1" x14ac:dyDescent="0.2"/>
    <row r="1464" s="13" customFormat="1" x14ac:dyDescent="0.2"/>
    <row r="1465" s="13" customFormat="1" x14ac:dyDescent="0.2"/>
    <row r="1466" s="13" customFormat="1" x14ac:dyDescent="0.2"/>
    <row r="1467" s="13" customFormat="1" x14ac:dyDescent="0.2"/>
    <row r="1468" s="13" customFormat="1" x14ac:dyDescent="0.2"/>
    <row r="1469" s="13" customFormat="1" x14ac:dyDescent="0.2"/>
    <row r="1470" s="13" customFormat="1" x14ac:dyDescent="0.2"/>
    <row r="1471" s="13" customFormat="1" x14ac:dyDescent="0.2"/>
    <row r="1472" s="13" customFormat="1" x14ac:dyDescent="0.2"/>
    <row r="1473" s="13" customFormat="1" x14ac:dyDescent="0.2"/>
    <row r="1474" s="13" customFormat="1" x14ac:dyDescent="0.2"/>
    <row r="1475" s="13" customFormat="1" x14ac:dyDescent="0.2"/>
    <row r="1476" s="13" customFormat="1" x14ac:dyDescent="0.2"/>
    <row r="1477" s="13" customFormat="1" x14ac:dyDescent="0.2"/>
    <row r="1478" s="13" customFormat="1" x14ac:dyDescent="0.2"/>
    <row r="1479" s="13" customFormat="1" x14ac:dyDescent="0.2"/>
    <row r="1480" s="13" customFormat="1" x14ac:dyDescent="0.2"/>
    <row r="1481" s="13" customFormat="1" x14ac:dyDescent="0.2"/>
    <row r="1482" s="13" customFormat="1" x14ac:dyDescent="0.2"/>
    <row r="1483" s="13" customFormat="1" x14ac:dyDescent="0.2"/>
    <row r="1484" s="13" customFormat="1" x14ac:dyDescent="0.2"/>
    <row r="1485" s="13" customFormat="1" x14ac:dyDescent="0.2"/>
    <row r="1486" s="13" customFormat="1" x14ac:dyDescent="0.2"/>
    <row r="1487" s="13" customFormat="1" x14ac:dyDescent="0.2"/>
    <row r="1488" s="13" customFormat="1" x14ac:dyDescent="0.2"/>
    <row r="1489" s="13" customFormat="1" x14ac:dyDescent="0.2"/>
    <row r="1490" s="13" customFormat="1" x14ac:dyDescent="0.2"/>
    <row r="1491" s="13" customFormat="1" x14ac:dyDescent="0.2"/>
    <row r="1492" s="13" customFormat="1" x14ac:dyDescent="0.2"/>
    <row r="1493" s="13" customFormat="1" x14ac:dyDescent="0.2"/>
    <row r="1494" s="13" customFormat="1" x14ac:dyDescent="0.2"/>
    <row r="1495" s="13" customFormat="1" x14ac:dyDescent="0.2"/>
    <row r="1496" s="13" customFormat="1" x14ac:dyDescent="0.2"/>
    <row r="1497" s="13" customFormat="1" x14ac:dyDescent="0.2"/>
    <row r="1498" s="13" customFormat="1" x14ac:dyDescent="0.2"/>
    <row r="1499" s="13" customFormat="1" x14ac:dyDescent="0.2"/>
    <row r="1500" s="13" customFormat="1" x14ac:dyDescent="0.2"/>
    <row r="1501" s="13" customFormat="1" x14ac:dyDescent="0.2"/>
    <row r="1502" s="13" customFormat="1" x14ac:dyDescent="0.2"/>
    <row r="1503" s="13" customFormat="1" x14ac:dyDescent="0.2"/>
    <row r="1504" s="13" customFormat="1" x14ac:dyDescent="0.2"/>
    <row r="1505" s="13" customFormat="1" x14ac:dyDescent="0.2"/>
    <row r="1506" s="13" customFormat="1" x14ac:dyDescent="0.2"/>
    <row r="1507" s="13" customFormat="1" x14ac:dyDescent="0.2"/>
    <row r="1508" s="13" customFormat="1" x14ac:dyDescent="0.2"/>
    <row r="1509" s="13" customFormat="1" x14ac:dyDescent="0.2"/>
    <row r="1510" s="13" customFormat="1" x14ac:dyDescent="0.2"/>
    <row r="1511" s="13" customFormat="1" x14ac:dyDescent="0.2"/>
    <row r="1512" s="13" customFormat="1" x14ac:dyDescent="0.2"/>
    <row r="1513" s="13" customFormat="1" x14ac:dyDescent="0.2"/>
    <row r="1514" s="13" customFormat="1" x14ac:dyDescent="0.2"/>
    <row r="1515" s="13" customFormat="1" x14ac:dyDescent="0.2"/>
    <row r="1516" s="13" customFormat="1" x14ac:dyDescent="0.2"/>
    <row r="1517" s="13" customFormat="1" x14ac:dyDescent="0.2"/>
    <row r="1518" s="13" customFormat="1" x14ac:dyDescent="0.2"/>
    <row r="1519" s="13" customFormat="1" x14ac:dyDescent="0.2"/>
    <row r="1520" s="13" customFormat="1" x14ac:dyDescent="0.2"/>
    <row r="1521" s="13" customFormat="1" x14ac:dyDescent="0.2"/>
    <row r="1522" s="13" customFormat="1" x14ac:dyDescent="0.2"/>
    <row r="1523" s="13" customFormat="1" x14ac:dyDescent="0.2"/>
    <row r="1524" s="13" customFormat="1" x14ac:dyDescent="0.2"/>
    <row r="1525" s="13" customFormat="1" x14ac:dyDescent="0.2"/>
    <row r="1526" s="13" customFormat="1" x14ac:dyDescent="0.2"/>
    <row r="1527" s="13" customFormat="1" x14ac:dyDescent="0.2"/>
    <row r="1528" s="13" customFormat="1" x14ac:dyDescent="0.2"/>
    <row r="1529" s="13" customFormat="1" x14ac:dyDescent="0.2"/>
    <row r="1530" s="13" customFormat="1" x14ac:dyDescent="0.2"/>
    <row r="1531" s="13" customFormat="1" x14ac:dyDescent="0.2"/>
    <row r="1532" s="13" customFormat="1" x14ac:dyDescent="0.2"/>
    <row r="1533" s="13" customFormat="1" x14ac:dyDescent="0.2"/>
    <row r="1534" s="13" customFormat="1" x14ac:dyDescent="0.2"/>
    <row r="1535" s="13" customFormat="1" x14ac:dyDescent="0.2"/>
    <row r="1536" s="13" customFormat="1" x14ac:dyDescent="0.2"/>
    <row r="1537" s="13" customFormat="1" x14ac:dyDescent="0.2"/>
    <row r="1538" s="13" customFormat="1" x14ac:dyDescent="0.2"/>
    <row r="1539" s="13" customFormat="1" x14ac:dyDescent="0.2"/>
    <row r="1540" s="13" customFormat="1" x14ac:dyDescent="0.2"/>
    <row r="1541" s="13" customFormat="1" x14ac:dyDescent="0.2"/>
    <row r="1542" s="13" customFormat="1" x14ac:dyDescent="0.2"/>
    <row r="1543" s="13" customFormat="1" x14ac:dyDescent="0.2"/>
    <row r="1544" s="13" customFormat="1" x14ac:dyDescent="0.2"/>
    <row r="1545" s="13" customFormat="1" x14ac:dyDescent="0.2"/>
    <row r="1546" s="13" customFormat="1" x14ac:dyDescent="0.2"/>
    <row r="1547" s="13" customFormat="1" x14ac:dyDescent="0.2"/>
    <row r="1548" s="13" customFormat="1" x14ac:dyDescent="0.2"/>
    <row r="1549" s="13" customFormat="1" x14ac:dyDescent="0.2"/>
    <row r="1550" s="13" customFormat="1" x14ac:dyDescent="0.2"/>
    <row r="1551" s="13" customFormat="1" x14ac:dyDescent="0.2"/>
    <row r="1552" s="13" customFormat="1" x14ac:dyDescent="0.2"/>
    <row r="1553" s="13" customFormat="1" x14ac:dyDescent="0.2"/>
    <row r="1554" s="13" customFormat="1" x14ac:dyDescent="0.2"/>
    <row r="1555" s="13" customFormat="1" x14ac:dyDescent="0.2"/>
    <row r="1556" s="13" customFormat="1" x14ac:dyDescent="0.2"/>
    <row r="1557" s="13" customFormat="1" x14ac:dyDescent="0.2"/>
    <row r="1558" s="13" customFormat="1" x14ac:dyDescent="0.2"/>
    <row r="1559" s="13" customFormat="1" x14ac:dyDescent="0.2"/>
    <row r="1560" s="13" customFormat="1" x14ac:dyDescent="0.2"/>
    <row r="1561" s="13" customFormat="1" x14ac:dyDescent="0.2"/>
    <row r="1562" s="13" customFormat="1" x14ac:dyDescent="0.2"/>
    <row r="1563" s="13" customFormat="1" x14ac:dyDescent="0.2"/>
    <row r="1564" s="13" customFormat="1" x14ac:dyDescent="0.2"/>
    <row r="1565" s="13" customFormat="1" x14ac:dyDescent="0.2"/>
    <row r="1566" s="13" customFormat="1" x14ac:dyDescent="0.2"/>
    <row r="1567" s="13" customFormat="1" x14ac:dyDescent="0.2"/>
  </sheetData>
  <mergeCells count="10">
    <mergeCell ref="B21:O21"/>
    <mergeCell ref="C23:I23"/>
    <mergeCell ref="C24:I24"/>
    <mergeCell ref="C22:I22"/>
    <mergeCell ref="C35:I35"/>
    <mergeCell ref="C31:I31"/>
    <mergeCell ref="C33:I33"/>
    <mergeCell ref="C28:I28"/>
    <mergeCell ref="C34:I34"/>
    <mergeCell ref="C32:I32"/>
  </mergeCells>
  <phoneticPr fontId="1" type="noConversion"/>
  <pageMargins left="0.15748031496062992" right="0.15748031496062992" top="0.39370078740157483" bottom="0.59055118110236227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2024</vt:lpstr>
      <vt:lpstr>Výdavky 2024</vt:lpstr>
      <vt:lpstr>Sumarizácia 2024</vt:lpstr>
      <vt:lpstr>'Príjmy 2024'!Oblasť_tlače</vt:lpstr>
      <vt:lpstr>'Sumarizácia 2024'!Oblasť_tlače</vt:lpstr>
      <vt:lpstr>'Výdavky 2024'!Oblasť_tlače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2025-04-10T05:53:46Z</cp:lastPrinted>
  <dcterms:created xsi:type="dcterms:W3CDTF">2014-05-27T11:25:41Z</dcterms:created>
  <dcterms:modified xsi:type="dcterms:W3CDTF">2025-04-15T11:44:08Z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