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3\Záverečný účet 2023\"/>
    </mc:Choice>
  </mc:AlternateContent>
  <xr:revisionPtr revIDLastSave="0" documentId="13_ncr:1_{275F781D-A7E7-4099-84D1-D289D1BB0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žiakov_a_tried" sheetId="23" r:id="rId22"/>
    <sheet name="Počet_zamest_ZŠ" sheetId="22" r:id="rId23"/>
    <sheet name="Zoznam_org_" sheetId="24" r:id="rId24"/>
    <sheet name="ESA" sheetId="25" r:id="rId25"/>
  </sheets>
  <definedNames>
    <definedName name="_xlnm.Print_Area" localSheetId="6">Bežné_dotácie!$C$3:$F$59</definedName>
    <definedName name="_xlnm.Print_Area" localSheetId="17">'BV-funkčná_kl_'!$B$2:$G$54</definedName>
    <definedName name="_xlnm.Print_Area" localSheetId="10">Dotácie_kultúra!$B$1:$E$70</definedName>
    <definedName name="_xlnm.Print_Area" localSheetId="8">Dotácie_na_šport_1!$B$2:$D$37</definedName>
    <definedName name="_xlnm.Print_Area" localSheetId="9">Dotácie_na_šport_2!$B$3:$E$76</definedName>
    <definedName name="_xlnm.Print_Area" localSheetId="12">Dotácie_v_oblasti_školstva!$B$3:$E$26</definedName>
    <definedName name="_xlnm.Print_Area" localSheetId="13">Dotácie_v_oblasti_ŽP!$B$3:$E$18</definedName>
    <definedName name="_xlnm.Print_Area" localSheetId="11">Dotácie_v_soc_oblasti!$B$2:$E$38</definedName>
    <definedName name="_xlnm.Print_Area" localSheetId="24">ESA!$D$2:$F$32</definedName>
    <definedName name="_xlnm.Print_Area" localSheetId="20">FO_podľa_RK!$B$2:$F$15</definedName>
    <definedName name="_xlnm.Print_Area" localSheetId="7">Kapitálové_dotácie!$B$3:$E$31</definedName>
    <definedName name="_xlnm.Print_Area" localSheetId="18">'KV-funkčná_kl_'!$B$2:$G$37</definedName>
    <definedName name="_xlnm.Print_Area" localSheetId="4">Materské_školy!$B$2:$I$78</definedName>
    <definedName name="_xlnm.Print_Area" localSheetId="1">MHSL!$B$1:$H$71</definedName>
    <definedName name="_xlnm.Print_Area" localSheetId="22">Počet_zamest_ZŠ!$B$2:$I$22</definedName>
    <definedName name="_xlnm.Print_Area" localSheetId="21">Počet_žiakov_a_tried!$B$2:$U$27</definedName>
    <definedName name="_xlnm.Print_Area" localSheetId="14">Pohľadávky!$B$1:$E$20</definedName>
    <definedName name="_xlnm.Print_Area" localSheetId="15">Prehľad_dlhu!$B$1:$J$49</definedName>
    <definedName name="_xlnm.Print_Area" localSheetId="2">SSMT!$B$2:$G$69</definedName>
    <definedName name="_xlnm.Print_Area" localSheetId="0">Súvahy!$B$3:$L$23</definedName>
    <definedName name="_xlnm.Print_Area" localSheetId="3">ŠZMT!$B$1:$H$30</definedName>
    <definedName name="_xlnm.Print_Area" localSheetId="19">Výdavky_ek_kl_!$B$3:$F$31</definedName>
    <definedName name="_xlnm.Print_Area" localSheetId="16">Vývoj_dlhovej_služby!$B$2:$H$39</definedName>
    <definedName name="_xlnm.Print_Area" localSheetId="5">Základné_školy!$B$6:$K$414</definedName>
    <definedName name="_xlnm.Print_Area" localSheetId="23">Zoznam_org_!$B$2:$D$22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5" l="1"/>
  <c r="I323" i="6"/>
  <c r="J316" i="6"/>
  <c r="I316" i="6"/>
  <c r="H321" i="6"/>
  <c r="H316" i="6"/>
  <c r="G316" i="6"/>
  <c r="E323" i="6"/>
  <c r="E322" i="6"/>
  <c r="E316" i="6"/>
  <c r="D316" i="6"/>
  <c r="E305" i="6"/>
  <c r="E304" i="6"/>
  <c r="E303" i="6"/>
  <c r="E302" i="6"/>
  <c r="I105" i="6"/>
  <c r="I104" i="6"/>
  <c r="I103" i="6"/>
  <c r="I102" i="6"/>
  <c r="I101" i="6"/>
  <c r="I100" i="6"/>
  <c r="I99" i="6"/>
  <c r="I98" i="6"/>
  <c r="I97" i="6"/>
  <c r="I96" i="6"/>
  <c r="I94" i="6"/>
  <c r="I93" i="6"/>
  <c r="F25" i="19" l="1"/>
  <c r="G25" i="19"/>
  <c r="E25" i="19"/>
  <c r="F15" i="19"/>
  <c r="G15" i="19"/>
  <c r="E15" i="19"/>
  <c r="F12" i="19"/>
  <c r="G12" i="19"/>
  <c r="E12" i="19"/>
  <c r="F10" i="19"/>
  <c r="G10" i="19"/>
  <c r="E10" i="19"/>
  <c r="E22" i="3"/>
  <c r="H16" i="17"/>
  <c r="F17" i="17"/>
  <c r="G17" i="17"/>
  <c r="G16" i="17"/>
  <c r="H17" i="17" s="1"/>
  <c r="H13" i="17"/>
  <c r="F10" i="25" l="1"/>
  <c r="F6" i="25" s="1"/>
  <c r="F13" i="25"/>
  <c r="F20" i="25"/>
  <c r="F23" i="25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H21" i="22"/>
  <c r="G21" i="22"/>
  <c r="F21" i="22"/>
  <c r="E21" i="22"/>
  <c r="D21" i="22"/>
  <c r="C21" i="22"/>
  <c r="I20" i="22"/>
  <c r="I19" i="22"/>
  <c r="I18" i="22"/>
  <c r="I17" i="22"/>
  <c r="I16" i="22"/>
  <c r="I15" i="22"/>
  <c r="I14" i="22"/>
  <c r="I13" i="22"/>
  <c r="I12" i="22"/>
  <c r="I11" i="22"/>
  <c r="I10" i="22"/>
  <c r="E17" i="17"/>
  <c r="D17" i="17"/>
  <c r="G13" i="17"/>
  <c r="F13" i="17"/>
  <c r="E13" i="17"/>
  <c r="D13" i="17"/>
  <c r="G11" i="17"/>
  <c r="F11" i="17"/>
  <c r="E11" i="17"/>
  <c r="D11" i="17"/>
  <c r="C11" i="17"/>
  <c r="E31" i="8"/>
  <c r="F26" i="25" l="1"/>
  <c r="F17" i="25"/>
  <c r="F18" i="25"/>
  <c r="I21" i="22"/>
  <c r="F31" i="7"/>
  <c r="F7" i="7"/>
  <c r="F59" i="7" l="1"/>
  <c r="F27" i="25"/>
  <c r="H47" i="16"/>
  <c r="J47" i="16" s="1"/>
  <c r="H45" i="16"/>
  <c r="J45" i="16" s="1"/>
  <c r="H43" i="16"/>
  <c r="J43" i="16" s="1"/>
  <c r="H41" i="16"/>
  <c r="J41" i="16" s="1"/>
  <c r="J38" i="16"/>
  <c r="H35" i="16"/>
  <c r="J35" i="16" s="1"/>
  <c r="H32" i="16"/>
  <c r="J32" i="16" s="1"/>
  <c r="H29" i="16"/>
  <c r="J29" i="16" s="1"/>
  <c r="H26" i="16"/>
  <c r="J26" i="16" s="1"/>
  <c r="H23" i="16"/>
  <c r="J23" i="16" s="1"/>
  <c r="H20" i="16"/>
  <c r="J20" i="16" s="1"/>
  <c r="H17" i="16"/>
  <c r="J17" i="16" s="1"/>
  <c r="H14" i="16"/>
  <c r="D14" i="16"/>
  <c r="G11" i="16"/>
  <c r="H11" i="16" s="1"/>
  <c r="J11" i="16" s="1"/>
  <c r="G8" i="16"/>
  <c r="H8" i="16" s="1"/>
  <c r="J8" i="16" s="1"/>
  <c r="F7" i="16"/>
  <c r="E7" i="16"/>
  <c r="G5" i="16"/>
  <c r="H5" i="16" s="1"/>
  <c r="J5" i="16" s="1"/>
  <c r="J14" i="16" l="1"/>
  <c r="E12" i="21" l="1"/>
  <c r="F12" i="21"/>
  <c r="D12" i="21"/>
  <c r="E7" i="21"/>
  <c r="F7" i="21"/>
  <c r="D7" i="21"/>
  <c r="E17" i="14" l="1"/>
  <c r="E25" i="13"/>
  <c r="E37" i="12"/>
  <c r="E69" i="11"/>
  <c r="E76" i="10"/>
  <c r="E20" i="10"/>
  <c r="F319" i="6" l="1"/>
  <c r="E313" i="6" l="1"/>
  <c r="D313" i="6"/>
  <c r="E298" i="6"/>
  <c r="E318" i="6" l="1"/>
  <c r="H245" i="6"/>
  <c r="H241" i="6"/>
  <c r="E44" i="6" l="1"/>
  <c r="H20" i="6" l="1"/>
  <c r="C66" i="3" l="1"/>
  <c r="C69" i="3"/>
  <c r="F66" i="3"/>
  <c r="D66" i="3"/>
  <c r="F53" i="3"/>
  <c r="F50" i="3"/>
  <c r="E50" i="3"/>
  <c r="D50" i="3"/>
  <c r="C50" i="3" l="1"/>
  <c r="E36" i="3" l="1"/>
  <c r="E35" i="3"/>
  <c r="E14" i="3"/>
  <c r="F76" i="5"/>
  <c r="E76" i="5"/>
  <c r="D76" i="5"/>
  <c r="C76" i="5"/>
  <c r="F75" i="5"/>
  <c r="E75" i="5"/>
  <c r="D75" i="5"/>
  <c r="C75" i="5"/>
  <c r="F74" i="5"/>
  <c r="E74" i="5"/>
  <c r="D74" i="5"/>
  <c r="C74" i="5"/>
  <c r="F73" i="5"/>
  <c r="E73" i="5"/>
  <c r="D73" i="5"/>
  <c r="C73" i="5"/>
  <c r="F72" i="5"/>
  <c r="E72" i="5"/>
  <c r="D72" i="5"/>
  <c r="C72" i="5"/>
  <c r="F71" i="5"/>
  <c r="E71" i="5"/>
  <c r="D71" i="5"/>
  <c r="C71" i="5"/>
  <c r="F70" i="5"/>
  <c r="E70" i="5"/>
  <c r="D70" i="5"/>
  <c r="C70" i="5"/>
  <c r="F69" i="5"/>
  <c r="E69" i="5"/>
  <c r="D69" i="5"/>
  <c r="C69" i="5"/>
  <c r="F68" i="5"/>
  <c r="E68" i="5"/>
  <c r="D68" i="5"/>
  <c r="C68" i="5"/>
  <c r="F67" i="5"/>
  <c r="E67" i="5"/>
  <c r="D67" i="5"/>
  <c r="C67" i="5"/>
  <c r="F66" i="5"/>
  <c r="E66" i="5"/>
  <c r="D66" i="5"/>
  <c r="C66" i="5"/>
  <c r="F65" i="5"/>
  <c r="E65" i="5"/>
  <c r="D65" i="5"/>
  <c r="C65" i="5"/>
  <c r="F64" i="5"/>
  <c r="E64" i="5"/>
  <c r="D64" i="5"/>
  <c r="C64" i="5"/>
  <c r="F63" i="5"/>
  <c r="E63" i="5"/>
  <c r="D63" i="5"/>
  <c r="C63" i="5"/>
  <c r="F62" i="5"/>
  <c r="E62" i="5"/>
  <c r="D62" i="5"/>
  <c r="C62" i="5"/>
  <c r="F61" i="5"/>
  <c r="F77" i="5" s="1"/>
  <c r="E61" i="5"/>
  <c r="E77" i="5" s="1"/>
  <c r="D61" i="5"/>
  <c r="D77" i="5" s="1"/>
  <c r="C61" i="5"/>
  <c r="C77" i="5" s="1"/>
  <c r="F50" i="5"/>
  <c r="E50" i="5"/>
  <c r="D50" i="5"/>
  <c r="C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H29" i="5"/>
  <c r="G29" i="5"/>
  <c r="F29" i="5"/>
  <c r="E29" i="5"/>
  <c r="I28" i="5"/>
  <c r="I29" i="5" s="1"/>
  <c r="D28" i="5"/>
  <c r="D29" i="5" s="1"/>
  <c r="C28" i="5"/>
  <c r="C29" i="5" s="1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E21" i="19"/>
  <c r="F31" i="18"/>
  <c r="G31" i="18"/>
  <c r="E31" i="18"/>
  <c r="E43" i="18"/>
  <c r="E38" i="18" s="1"/>
  <c r="D68" i="2"/>
  <c r="D67" i="2"/>
  <c r="D66" i="2"/>
  <c r="D65" i="2"/>
  <c r="D64" i="2"/>
  <c r="D63" i="2"/>
  <c r="D62" i="2"/>
  <c r="D59" i="2"/>
  <c r="D58" i="2"/>
  <c r="D40" i="2"/>
  <c r="D39" i="2"/>
  <c r="D37" i="2"/>
  <c r="D36" i="2"/>
  <c r="D35" i="2"/>
  <c r="D34" i="2"/>
  <c r="D32" i="2"/>
  <c r="D31" i="2"/>
  <c r="E5" i="2"/>
  <c r="G63" i="5" l="1"/>
  <c r="G64" i="5"/>
  <c r="G66" i="5"/>
  <c r="G68" i="5"/>
  <c r="G70" i="5"/>
  <c r="G71" i="5"/>
  <c r="G73" i="5"/>
  <c r="G75" i="5"/>
  <c r="G62" i="5"/>
  <c r="G65" i="5"/>
  <c r="G67" i="5"/>
  <c r="G69" i="5"/>
  <c r="G72" i="5"/>
  <c r="G74" i="5"/>
  <c r="G76" i="5"/>
  <c r="I26" i="5"/>
  <c r="G50" i="5"/>
  <c r="G61" i="5"/>
  <c r="E11" i="1"/>
  <c r="D11" i="1"/>
  <c r="G77" i="5" l="1"/>
  <c r="H11" i="17" l="1"/>
  <c r="C11" i="7" l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D22" i="20" l="1"/>
  <c r="F17" i="19" l="1"/>
  <c r="G17" i="19"/>
  <c r="E17" i="19"/>
  <c r="E7" i="18"/>
  <c r="E321" i="6" l="1"/>
  <c r="E314" i="6"/>
  <c r="D236" i="6" l="1"/>
  <c r="D246" i="6" s="1"/>
  <c r="E236" i="6"/>
  <c r="F236" i="6"/>
  <c r="F246" i="6" s="1"/>
  <c r="G236" i="6"/>
  <c r="C236" i="6"/>
  <c r="H237" i="6"/>
  <c r="G313" i="6"/>
  <c r="H313" i="6"/>
  <c r="I313" i="6"/>
  <c r="J313" i="6"/>
  <c r="C161" i="6"/>
  <c r="E161" i="6"/>
  <c r="E169" i="6" s="1"/>
  <c r="F161" i="6"/>
  <c r="G161" i="6"/>
  <c r="H161" i="6"/>
  <c r="D161" i="6"/>
  <c r="I162" i="6"/>
  <c r="G315" i="6"/>
  <c r="F95" i="6"/>
  <c r="F106" i="6" s="1"/>
  <c r="G95" i="6"/>
  <c r="G106" i="6" s="1"/>
  <c r="H95" i="6"/>
  <c r="H106" i="6" s="1"/>
  <c r="H236" i="6" l="1"/>
  <c r="K313" i="6"/>
  <c r="F315" i="6"/>
  <c r="K322" i="6" l="1"/>
  <c r="I29" i="6"/>
  <c r="D20" i="15" l="1"/>
  <c r="G67" i="3" l="1"/>
  <c r="G65" i="3"/>
  <c r="G64" i="3"/>
  <c r="G63" i="3"/>
  <c r="G62" i="3"/>
  <c r="G61" i="3"/>
  <c r="G60" i="3"/>
  <c r="G58" i="3"/>
  <c r="G57" i="3"/>
  <c r="G43" i="3"/>
  <c r="G52" i="3" s="1"/>
  <c r="G69" i="3"/>
  <c r="G66" i="3"/>
  <c r="E24" i="3"/>
  <c r="E13" i="3"/>
  <c r="E6" i="3"/>
  <c r="E30" i="3"/>
  <c r="G71" i="2"/>
  <c r="F22" i="20" l="1"/>
  <c r="E22" i="20"/>
  <c r="J318" i="6"/>
  <c r="I318" i="6"/>
  <c r="H318" i="6"/>
  <c r="G320" i="6"/>
  <c r="G319" i="6"/>
  <c r="G318" i="6"/>
  <c r="G317" i="6"/>
  <c r="G314" i="6"/>
  <c r="G311" i="6"/>
  <c r="G310" i="6"/>
  <c r="F323" i="6"/>
  <c r="D318" i="6"/>
  <c r="I273" i="6"/>
  <c r="I272" i="6"/>
  <c r="I271" i="6"/>
  <c r="I270" i="6"/>
  <c r="I269" i="6"/>
  <c r="I268" i="6"/>
  <c r="I267" i="6"/>
  <c r="I266" i="6"/>
  <c r="I264" i="6"/>
  <c r="J195" i="6"/>
  <c r="J194" i="6"/>
  <c r="J193" i="6"/>
  <c r="J192" i="6"/>
  <c r="J191" i="6"/>
  <c r="J190" i="6"/>
  <c r="J189" i="6"/>
  <c r="J187" i="6"/>
  <c r="J186" i="6"/>
  <c r="I168" i="6"/>
  <c r="I167" i="6"/>
  <c r="I166" i="6"/>
  <c r="I165" i="6"/>
  <c r="I164" i="6"/>
  <c r="I163" i="6"/>
  <c r="I160" i="6"/>
  <c r="I159" i="6"/>
  <c r="I59" i="6"/>
  <c r="I58" i="6"/>
  <c r="I57" i="6"/>
  <c r="I56" i="6"/>
  <c r="I55" i="6"/>
  <c r="I54" i="6"/>
  <c r="I53" i="6"/>
  <c r="I52" i="6"/>
  <c r="I51" i="6"/>
  <c r="I49" i="6"/>
  <c r="I48" i="6"/>
  <c r="I28" i="6"/>
  <c r="I27" i="6"/>
  <c r="I26" i="6"/>
  <c r="I25" i="6"/>
  <c r="I24" i="6"/>
  <c r="I23" i="6"/>
  <c r="I22" i="6"/>
  <c r="I21" i="6"/>
  <c r="I19" i="6"/>
  <c r="I18" i="6"/>
  <c r="I161" i="6" l="1"/>
  <c r="K316" i="6"/>
  <c r="B30" i="10" l="1"/>
  <c r="B33" i="10"/>
  <c r="B36" i="10"/>
  <c r="B39" i="10"/>
  <c r="B42" i="10"/>
  <c r="B45" i="10"/>
  <c r="B48" i="10"/>
  <c r="B51" i="10"/>
  <c r="B54" i="10"/>
  <c r="B57" i="10"/>
  <c r="B60" i="10"/>
  <c r="B63" i="10"/>
  <c r="B66" i="10"/>
  <c r="B69" i="10"/>
  <c r="B72" i="10"/>
  <c r="B75" i="10"/>
  <c r="E398" i="6" l="1"/>
  <c r="E297" i="6"/>
  <c r="H323" i="6"/>
  <c r="H315" i="6"/>
  <c r="H314" i="6"/>
  <c r="H311" i="6"/>
  <c r="H310" i="6"/>
  <c r="J320" i="6"/>
  <c r="J319" i="6"/>
  <c r="J317" i="6"/>
  <c r="J315" i="6"/>
  <c r="J314" i="6"/>
  <c r="J311" i="6"/>
  <c r="J310" i="6"/>
  <c r="E116" i="6"/>
  <c r="G321" i="6"/>
  <c r="E89" i="6"/>
  <c r="I321" i="6"/>
  <c r="J321" i="6"/>
  <c r="D21" i="4"/>
  <c r="E21" i="4"/>
  <c r="F21" i="4"/>
  <c r="G21" i="4"/>
  <c r="C21" i="4"/>
  <c r="H22" i="4"/>
  <c r="K323" i="6" l="1"/>
  <c r="E155" i="6"/>
  <c r="H21" i="4"/>
  <c r="G65" i="2" l="1"/>
  <c r="G33" i="2"/>
  <c r="G42" i="2" s="1"/>
  <c r="G59" i="2"/>
  <c r="G58" i="2"/>
  <c r="B27" i="10" l="1"/>
  <c r="D36" i="9"/>
  <c r="D23" i="1" l="1"/>
  <c r="D14" i="1" l="1"/>
  <c r="E299" i="6" l="1"/>
  <c r="E300" i="6"/>
  <c r="E301" i="6"/>
  <c r="C310" i="6"/>
  <c r="D310" i="6"/>
  <c r="E310" i="6"/>
  <c r="I310" i="6"/>
  <c r="C311" i="6"/>
  <c r="D311" i="6"/>
  <c r="E311" i="6"/>
  <c r="I311" i="6"/>
  <c r="C314" i="6"/>
  <c r="D314" i="6"/>
  <c r="I314" i="6"/>
  <c r="C315" i="6"/>
  <c r="D315" i="6"/>
  <c r="E315" i="6"/>
  <c r="I315" i="6"/>
  <c r="C317" i="6"/>
  <c r="D317" i="6"/>
  <c r="E317" i="6"/>
  <c r="H317" i="6"/>
  <c r="I317" i="6"/>
  <c r="C318" i="6"/>
  <c r="K318" i="6" s="1"/>
  <c r="D319" i="6"/>
  <c r="E319" i="6"/>
  <c r="H319" i="6"/>
  <c r="I319" i="6"/>
  <c r="D320" i="6"/>
  <c r="E320" i="6"/>
  <c r="H320" i="6"/>
  <c r="I320" i="6"/>
  <c r="D321" i="6"/>
  <c r="K321" i="6" s="1"/>
  <c r="F32" i="19"/>
  <c r="G32" i="19"/>
  <c r="E32" i="19"/>
  <c r="K314" i="6" l="1"/>
  <c r="K311" i="6"/>
  <c r="K310" i="6"/>
  <c r="K319" i="6"/>
  <c r="K315" i="6"/>
  <c r="K320" i="6"/>
  <c r="K317" i="6"/>
  <c r="E306" i="6"/>
  <c r="I263" i="6"/>
  <c r="H244" i="6"/>
  <c r="H243" i="6"/>
  <c r="H242" i="6"/>
  <c r="H240" i="6"/>
  <c r="H239" i="6"/>
  <c r="H238" i="6"/>
  <c r="H235" i="6"/>
  <c r="H234" i="6"/>
  <c r="C188" i="6"/>
  <c r="I129" i="6"/>
  <c r="I128" i="6"/>
  <c r="I127" i="6"/>
  <c r="I126" i="6"/>
  <c r="I125" i="6"/>
  <c r="I124" i="6"/>
  <c r="I123" i="6"/>
  <c r="I121" i="6"/>
  <c r="I120" i="6"/>
  <c r="G68" i="2"/>
  <c r="G67" i="2"/>
  <c r="G66" i="2"/>
  <c r="G64" i="2"/>
  <c r="G62" i="2"/>
  <c r="C196" i="6" l="1"/>
  <c r="G63" i="2" l="1"/>
  <c r="I188" i="6"/>
  <c r="I196" i="6" s="1"/>
  <c r="H265" i="6"/>
  <c r="H274" i="6" s="1"/>
  <c r="E188" i="6"/>
  <c r="E196" i="6" s="1"/>
  <c r="E95" i="6"/>
  <c r="E106" i="6" s="1"/>
  <c r="H122" i="6"/>
  <c r="H130" i="6" s="1"/>
  <c r="F312" i="6" l="1"/>
  <c r="F324" i="6" s="1"/>
  <c r="F21" i="20" l="1"/>
  <c r="D21" i="20"/>
  <c r="F38" i="18"/>
  <c r="G38" i="18"/>
  <c r="E21" i="20" l="1"/>
  <c r="H312" i="6" l="1"/>
  <c r="H324" i="6" s="1"/>
  <c r="G312" i="6"/>
  <c r="G324" i="6" s="1"/>
  <c r="D312" i="6"/>
  <c r="D324" i="6" s="1"/>
  <c r="J312" i="6"/>
  <c r="J324" i="6" s="1"/>
  <c r="E312" i="6"/>
  <c r="E324" i="6" s="1"/>
  <c r="I312" i="6"/>
  <c r="I324" i="6" s="1"/>
  <c r="C312" i="6"/>
  <c r="C324" i="6" s="1"/>
  <c r="K324" i="6" l="1"/>
  <c r="K312" i="6"/>
  <c r="H50" i="6" l="1"/>
  <c r="H60" i="6" s="1"/>
  <c r="H169" i="6" l="1"/>
  <c r="C50" i="6" l="1"/>
  <c r="C60" i="6" s="1"/>
  <c r="D50" i="6"/>
  <c r="D60" i="6" s="1"/>
  <c r="E50" i="6"/>
  <c r="E60" i="6" s="1"/>
  <c r="F50" i="6"/>
  <c r="F60" i="6" s="1"/>
  <c r="G50" i="6"/>
  <c r="G60" i="6" s="1"/>
  <c r="C95" i="6"/>
  <c r="D95" i="6"/>
  <c r="C122" i="6"/>
  <c r="D122" i="6"/>
  <c r="D130" i="6" s="1"/>
  <c r="E122" i="6"/>
  <c r="E130" i="6" s="1"/>
  <c r="F122" i="6"/>
  <c r="F130" i="6" s="1"/>
  <c r="G122" i="6"/>
  <c r="G130" i="6" s="1"/>
  <c r="C169" i="6"/>
  <c r="D169" i="6"/>
  <c r="F169" i="6"/>
  <c r="G169" i="6"/>
  <c r="C20" i="6"/>
  <c r="C30" i="6" s="1"/>
  <c r="D20" i="6"/>
  <c r="D30" i="6" s="1"/>
  <c r="E20" i="6"/>
  <c r="E30" i="6" s="1"/>
  <c r="F20" i="6"/>
  <c r="F30" i="6" s="1"/>
  <c r="G20" i="6"/>
  <c r="G30" i="6" s="1"/>
  <c r="H30" i="6"/>
  <c r="D106" i="6" l="1"/>
  <c r="I95" i="6"/>
  <c r="I30" i="6"/>
  <c r="I169" i="6"/>
  <c r="I50" i="6"/>
  <c r="I60" i="6" s="1"/>
  <c r="I20" i="6"/>
  <c r="I122" i="6"/>
  <c r="C130" i="6"/>
  <c r="I130" i="6" s="1"/>
  <c r="H29" i="4"/>
  <c r="H28" i="4"/>
  <c r="H27" i="4"/>
  <c r="H26" i="4"/>
  <c r="H25" i="4"/>
  <c r="H24" i="4"/>
  <c r="H23" i="4"/>
  <c r="H20" i="4"/>
  <c r="H19" i="4"/>
  <c r="E33" i="2" l="1"/>
  <c r="E42" i="2" s="1"/>
  <c r="G61" i="2"/>
  <c r="G18" i="2"/>
  <c r="G27" i="2" s="1"/>
  <c r="F18" i="2"/>
  <c r="F27" i="2" s="1"/>
  <c r="E18" i="2"/>
  <c r="E27" i="2" s="1"/>
  <c r="D18" i="2"/>
  <c r="D27" i="2" s="1"/>
  <c r="C18" i="2"/>
  <c r="C27" i="2" s="1"/>
  <c r="G60" i="2" l="1"/>
  <c r="F10" i="20" l="1"/>
  <c r="F7" i="20" s="1"/>
  <c r="E10" i="20"/>
  <c r="E7" i="20" s="1"/>
  <c r="D10" i="20"/>
  <c r="D7" i="20" s="1"/>
  <c r="G21" i="19"/>
  <c r="F21" i="19"/>
  <c r="G8" i="19"/>
  <c r="F8" i="19"/>
  <c r="E8" i="19"/>
  <c r="G48" i="18"/>
  <c r="F48" i="18"/>
  <c r="E48" i="18"/>
  <c r="G33" i="18"/>
  <c r="F33" i="18"/>
  <c r="E33" i="18"/>
  <c r="G26" i="18"/>
  <c r="F26" i="18"/>
  <c r="E26" i="18"/>
  <c r="G23" i="18"/>
  <c r="F23" i="18"/>
  <c r="E23" i="18"/>
  <c r="G18" i="18"/>
  <c r="F18" i="18"/>
  <c r="E18" i="18"/>
  <c r="G15" i="18"/>
  <c r="F15" i="18"/>
  <c r="E15" i="18"/>
  <c r="G13" i="18"/>
  <c r="F13" i="18"/>
  <c r="E13" i="18"/>
  <c r="G7" i="18"/>
  <c r="F7" i="18"/>
  <c r="C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C404" i="6"/>
  <c r="C413" i="6" s="1"/>
  <c r="C378" i="6"/>
  <c r="C387" i="6" s="1"/>
  <c r="E372" i="6"/>
  <c r="G265" i="6"/>
  <c r="G274" i="6" s="1"/>
  <c r="F265" i="6"/>
  <c r="F274" i="6" s="1"/>
  <c r="E265" i="6"/>
  <c r="E274" i="6" s="1"/>
  <c r="D265" i="6"/>
  <c r="D274" i="6" s="1"/>
  <c r="C265" i="6"/>
  <c r="E259" i="6"/>
  <c r="G246" i="6"/>
  <c r="E246" i="6"/>
  <c r="E230" i="6"/>
  <c r="H188" i="6"/>
  <c r="H196" i="6" s="1"/>
  <c r="G188" i="6"/>
  <c r="G196" i="6" s="1"/>
  <c r="F188" i="6"/>
  <c r="F196" i="6" s="1"/>
  <c r="D188" i="6"/>
  <c r="D196" i="6" s="1"/>
  <c r="E182" i="6"/>
  <c r="E14" i="6"/>
  <c r="G30" i="4"/>
  <c r="F30" i="4"/>
  <c r="E30" i="4"/>
  <c r="D30" i="4"/>
  <c r="E14" i="4"/>
  <c r="F59" i="3"/>
  <c r="F68" i="3" s="1"/>
  <c r="E59" i="3"/>
  <c r="E68" i="3" s="1"/>
  <c r="D59" i="3"/>
  <c r="D68" i="3" s="1"/>
  <c r="C59" i="3"/>
  <c r="C68" i="3" s="1"/>
  <c r="F43" i="3"/>
  <c r="F52" i="3" s="1"/>
  <c r="E43" i="3"/>
  <c r="E52" i="3" s="1"/>
  <c r="D43" i="3"/>
  <c r="D52" i="3" s="1"/>
  <c r="C43" i="3"/>
  <c r="E19" i="3"/>
  <c r="E17" i="3"/>
  <c r="F60" i="2"/>
  <c r="F70" i="2" s="1"/>
  <c r="E60" i="2"/>
  <c r="E70" i="2" s="1"/>
  <c r="D60" i="2"/>
  <c r="D70" i="2" s="1"/>
  <c r="C60" i="2"/>
  <c r="C70" i="2" s="1"/>
  <c r="F33" i="2"/>
  <c r="F42" i="2" s="1"/>
  <c r="D33" i="2"/>
  <c r="D42" i="2" s="1"/>
  <c r="C33" i="2"/>
  <c r="C42" i="2" s="1"/>
  <c r="E4" i="2"/>
  <c r="K23" i="1"/>
  <c r="J23" i="1"/>
  <c r="I23" i="1"/>
  <c r="H23" i="1"/>
  <c r="G23" i="1"/>
  <c r="F23" i="1"/>
  <c r="E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E6" i="18" l="1"/>
  <c r="E5" i="3"/>
  <c r="G6" i="18"/>
  <c r="F6" i="18"/>
  <c r="G59" i="3"/>
  <c r="I265" i="6"/>
  <c r="J196" i="6"/>
  <c r="J188" i="6"/>
  <c r="G70" i="2"/>
  <c r="C274" i="6"/>
  <c r="I274" i="6" s="1"/>
  <c r="F7" i="19"/>
  <c r="G7" i="19"/>
  <c r="C246" i="6"/>
  <c r="H246" i="6" s="1"/>
  <c r="L11" i="1"/>
  <c r="E20" i="15"/>
  <c r="L23" i="1"/>
  <c r="C52" i="3"/>
  <c r="G68" i="3" s="1"/>
  <c r="E7" i="19"/>
  <c r="C106" i="6"/>
  <c r="I106" i="6" s="1"/>
  <c r="C30" i="4"/>
  <c r="H30" i="4" s="1"/>
  <c r="L14" i="1"/>
</calcChain>
</file>

<file path=xl/sharedStrings.xml><?xml version="1.0" encoding="utf-8"?>
<sst xmlns="http://schemas.openxmlformats.org/spreadsheetml/2006/main" count="1680" uniqueCount="1034">
  <si>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</si>
  <si>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</si>
  <si>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</si>
  <si>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</si>
  <si>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</si>
  <si>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</si>
  <si>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</si>
  <si>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</si>
  <si>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</si>
  <si>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</si>
  <si>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</si>
  <si>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</si>
  <si>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</si>
  <si>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</si>
  <si>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</si>
  <si>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</si>
  <si>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</si>
  <si>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</si>
  <si>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</si>
  <si>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</si>
  <si>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</si>
  <si>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</si>
  <si>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</si>
  <si>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</si>
  <si>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</si>
  <si>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</si>
  <si>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</si>
  <si>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</si>
  <si>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</si>
  <si>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</si>
  <si>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</si>
  <si>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</si>
  <si>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</si>
  <si>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</si>
  <si>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</si>
  <si>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</si>
  <si>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</si>
  <si>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</si>
  <si>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</si>
  <si>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16.</t>
  </si>
  <si>
    <t>Výnosy budúcich období</t>
  </si>
  <si>
    <t>Bankové úvery a ostatné prijaté výpomoci</t>
  </si>
  <si>
    <t>P A S Í V A   celkom</t>
  </si>
  <si>
    <t>Príloha č.1</t>
  </si>
  <si>
    <t>Mestské hospodárstvo a správa lesov m.r.o.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</si>
  <si>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</si>
  <si>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</si>
  <si>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</si>
  <si>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</si>
  <si>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</si>
  <si>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</si>
  <si>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</si>
  <si>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Výdavky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</si>
  <si>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</si>
  <si>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</si>
  <si>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</si>
  <si>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</si>
  <si>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</si>
  <si>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</si>
  <si>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</si>
  <si>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</si>
  <si>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</si>
  <si>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</si>
  <si>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</si>
  <si>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</si>
  <si>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620: Poistné</t>
  </si>
  <si>
    <t>631: Cestovné náhrady</t>
  </si>
  <si>
    <t>Spolu výdavky MHSL m.r.o.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</si>
  <si>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</si>
  <si>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</si>
  <si>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</si>
  <si>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</si>
  <si>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</si>
  <si>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</si>
  <si>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</si>
  <si>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</si>
  <si>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</si>
  <si>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</si>
  <si>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</si>
  <si>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</si>
  <si>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</si>
  <si>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</si>
  <si>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</si>
  <si>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</si>
  <si>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</si>
  <si>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</si>
  <si>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</si>
  <si>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</si>
  <si>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</si>
  <si>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</si>
  <si>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</si>
  <si>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292 012: dobropisy</t>
  </si>
  <si>
    <t>311: dary</t>
  </si>
  <si>
    <t>453: prostriedky z minulých rokov</t>
  </si>
  <si>
    <t>631: Cestovné</t>
  </si>
  <si>
    <t xml:space="preserve">Bežné výdavky 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</si>
  <si>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</si>
  <si>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</si>
  <si>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</si>
  <si>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</si>
  <si>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</si>
  <si>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</si>
  <si>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</si>
  <si>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</si>
  <si>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</si>
  <si>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</si>
  <si>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</si>
  <si>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</si>
  <si>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</si>
  <si>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</si>
  <si>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</si>
  <si>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</si>
  <si>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</si>
  <si>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</si>
  <si>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</si>
  <si>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M.Turkovej</t>
  </si>
  <si>
    <t>MŠ Soblahovská</t>
  </si>
  <si>
    <t>MŠ Šmidkeho</t>
  </si>
  <si>
    <t>MŠ J.Halašu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</si>
  <si>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</si>
  <si>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</si>
  <si>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</si>
  <si>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</si>
  <si>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</si>
  <si>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</si>
  <si>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</si>
  <si>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</si>
  <si>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</si>
  <si>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</si>
  <si>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</si>
  <si>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</si>
  <si>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</si>
  <si>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</si>
  <si>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</si>
  <si>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</si>
  <si>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311: Granty</t>
  </si>
  <si>
    <t>312: Transfery v rámci verejnej správy</t>
  </si>
  <si>
    <t>Základná škola Kubranská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</si>
  <si>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</si>
  <si>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</si>
  <si>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</si>
  <si>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</si>
  <si>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</si>
  <si>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</si>
  <si>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Základná škola Dlhé Hony</t>
  </si>
  <si>
    <t>Základná škola Veľkomoravská</t>
  </si>
  <si>
    <t>Základné školy spolu</t>
  </si>
  <si>
    <t>Základná umelecká škola Karola Pádivého m.r.o.</t>
  </si>
  <si>
    <t>223 002: Za školy a školské zariadenia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</si>
  <si>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</si>
  <si>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</si>
  <si>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</si>
  <si>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</si>
  <si>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</si>
  <si>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</si>
  <si>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</si>
  <si>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</si>
  <si>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</si>
  <si>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</si>
  <si>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</si>
  <si>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</si>
  <si>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</si>
  <si>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</si>
  <si>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</si>
  <si>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</si>
  <si>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</si>
  <si>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</si>
  <si>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</si>
  <si>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</si>
  <si>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</si>
  <si>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</si>
  <si>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+ nárast</t>
  </si>
  <si>
    <t>- pokles</t>
  </si>
  <si>
    <t>Daň z nehnuteľností</t>
  </si>
  <si>
    <t>Daň za psa</t>
  </si>
  <si>
    <t>Daň z predaja alk. nápojov a tabak. výrobkov</t>
  </si>
  <si>
    <t xml:space="preserve">Daň za užívanie verejného priestranstva 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</si>
  <si>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</si>
  <si>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</si>
  <si>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</si>
  <si>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</si>
  <si>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</si>
  <si>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</si>
  <si>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</si>
  <si>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</si>
  <si>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Ostatné pohľadávky</t>
  </si>
  <si>
    <t xml:space="preserve">Zmluva č. </t>
  </si>
  <si>
    <t>Výška poskytnutého úveru</t>
  </si>
  <si>
    <t>1.splátka úveru</t>
  </si>
  <si>
    <t>Splátky</t>
  </si>
  <si>
    <t>Splátky spolu od 1.splátky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</si>
  <si>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</si>
  <si>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</si>
  <si>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</si>
  <si>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</si>
  <si>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</si>
  <si>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</si>
  <si>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mesačne vrátane úroku</t>
  </si>
  <si>
    <t>300/149/2017</t>
  </si>
  <si>
    <t>jún 2018</t>
  </si>
  <si>
    <t>vždy do 15.na účte</t>
  </si>
  <si>
    <t>2048</t>
  </si>
  <si>
    <t>trvalý príkaz v čsob</t>
  </si>
  <si>
    <t>300/202/2018</t>
  </si>
  <si>
    <t>Slovenská sporiteľňa a.s.</t>
  </si>
  <si>
    <t>1186/CC/16</t>
  </si>
  <si>
    <t>31.1.2014</t>
  </si>
  <si>
    <t>mesačne: 10 530 €</t>
  </si>
  <si>
    <t>dodatok č.1,2,3</t>
  </si>
  <si>
    <t>posledná: 10 110 €</t>
  </si>
  <si>
    <t>1190/CC/16</t>
  </si>
  <si>
    <t>31.1.2017</t>
  </si>
  <si>
    <t>mesačne: 8 334 €</t>
  </si>
  <si>
    <t>posledná: 8 254 €</t>
  </si>
  <si>
    <t>335/CC/18</t>
  </si>
  <si>
    <t>31.1.2019</t>
  </si>
  <si>
    <t>mesačne: 26.750 €</t>
  </si>
  <si>
    <t>posledná: 26.750 €</t>
  </si>
  <si>
    <t>Československá obchodná banka a.s.</t>
  </si>
  <si>
    <t>0499/15/80226</t>
  </si>
  <si>
    <t>mesačne 20.012,24 €</t>
  </si>
  <si>
    <t>posledná 20.012,24 €</t>
  </si>
  <si>
    <t>0840/14/80226</t>
  </si>
  <si>
    <t>mesačné: 5.681,33 €</t>
  </si>
  <si>
    <t>posledná: 5.681,73 €</t>
  </si>
  <si>
    <t xml:space="preserve">Tatrabanka a.s. </t>
  </si>
  <si>
    <t>S00912/2013</t>
  </si>
  <si>
    <t>mesačne: 12 500 €</t>
  </si>
  <si>
    <t>posledná: 12 500 €</t>
  </si>
  <si>
    <t>S01545/2014</t>
  </si>
  <si>
    <t>31.1.2015</t>
  </si>
  <si>
    <t>mesačne: 10 834 €</t>
  </si>
  <si>
    <t>posledná: 10 784 €</t>
  </si>
  <si>
    <t>S02531/2015</t>
  </si>
  <si>
    <t>29.1.2016</t>
  </si>
  <si>
    <t>mesačne: 15 000 €</t>
  </si>
  <si>
    <t>posledná 15 000 €</t>
  </si>
  <si>
    <t>Slovenská záručná a rozvojová banka</t>
  </si>
  <si>
    <t>282917-2017</t>
  </si>
  <si>
    <t>21.1.2018</t>
  </si>
  <si>
    <t>mesačne: 27 130 €</t>
  </si>
  <si>
    <t>posledná 27 180 €</t>
  </si>
  <si>
    <t>Príloha č. 15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</si>
  <si>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</si>
  <si>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</si>
  <si>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</si>
  <si>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</si>
  <si>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</si>
  <si>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</si>
  <si>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</si>
  <si>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</si>
  <si>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</si>
  <si>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</si>
  <si>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</si>
  <si>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</si>
  <si>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</si>
  <si>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</si>
  <si>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</si>
  <si>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</si>
  <si>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</si>
  <si>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</si>
  <si>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</si>
  <si>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</si>
  <si>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</si>
  <si>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</si>
  <si>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</si>
  <si>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</si>
  <si>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</si>
  <si>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</si>
  <si>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</si>
  <si>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</si>
  <si>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</si>
  <si>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</si>
  <si>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</si>
  <si>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</si>
  <si>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</si>
  <si>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</si>
  <si>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</si>
  <si>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</si>
  <si>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</si>
  <si>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</si>
  <si>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</si>
  <si>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</si>
  <si>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</si>
  <si>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</si>
  <si>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</si>
  <si>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</si>
  <si>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</si>
  <si>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</si>
  <si>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</si>
  <si>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</si>
  <si>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</si>
  <si>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</si>
  <si>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</si>
  <si>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</si>
  <si>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</si>
  <si>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</si>
  <si>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</si>
  <si>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</si>
  <si>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</si>
  <si>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</si>
  <si>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</si>
  <si>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</si>
  <si>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</si>
  <si>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</si>
  <si>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</si>
  <si>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</si>
  <si>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</si>
  <si>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</si>
  <si>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</si>
  <si>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</si>
  <si>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</si>
  <si>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</si>
  <si>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</si>
  <si>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</si>
  <si>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</si>
  <si>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</si>
  <si>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</si>
  <si>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</si>
  <si>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</si>
  <si>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</si>
  <si>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</si>
  <si>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</si>
  <si>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</si>
  <si>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</si>
  <si>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</si>
  <si>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</si>
  <si>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</si>
  <si>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</si>
  <si>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</si>
  <si>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</si>
  <si>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</si>
  <si>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</si>
  <si>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</si>
  <si>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</si>
  <si>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</si>
  <si>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</si>
  <si>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</si>
  <si>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</si>
  <si>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</si>
  <si>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</si>
  <si>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</si>
  <si>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</si>
  <si>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</si>
  <si>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</si>
  <si>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</si>
  <si>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10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</si>
  <si>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</si>
  <si>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</si>
  <si>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</si>
  <si>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</si>
  <si>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</si>
  <si>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</si>
  <si>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</si>
  <si>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</si>
  <si>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</si>
  <si>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</si>
  <si>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</si>
  <si>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</si>
  <si>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</si>
  <si>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</si>
  <si>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</si>
  <si>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</si>
  <si>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</si>
  <si>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</si>
  <si>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nákup dopravných prostriedkov</t>
  </si>
  <si>
    <t>prípravná a projektová dokumentácia</t>
  </si>
  <si>
    <t>Realizácia stavieb a ich tech.zhodnotenia</t>
  </si>
  <si>
    <t>Kapitálové transfery</t>
  </si>
  <si>
    <t>Príloha č.19</t>
  </si>
  <si>
    <t>Príjmové operácie spolu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</si>
  <si>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</si>
  <si>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</si>
  <si>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</si>
  <si>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</si>
  <si>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</si>
  <si>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</si>
  <si>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Asistenti učiteľa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</si>
  <si>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</si>
  <si>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</si>
  <si>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</si>
  <si>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</si>
  <si>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</si>
  <si>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</si>
  <si>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</si>
  <si>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</si>
  <si>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</si>
  <si>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</si>
  <si>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</si>
  <si>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</si>
  <si>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ZŠ Potočná</t>
  </si>
  <si>
    <t>ZUŠ</t>
  </si>
  <si>
    <t>CVČ</t>
  </si>
  <si>
    <t>Príloha č.21</t>
  </si>
  <si>
    <t>škola/trieda</t>
  </si>
  <si>
    <t>5. - 9.r.</t>
  </si>
  <si>
    <t>spolu žiakov školy</t>
  </si>
  <si>
    <t>porovnanie s min. r.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</si>
  <si>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</si>
  <si>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</si>
  <si>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</si>
  <si>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</si>
  <si>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</si>
  <si>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</si>
  <si>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</si>
  <si>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</si>
  <si>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</si>
  <si>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</si>
  <si>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Potočná 86</t>
  </si>
  <si>
    <t>Veľkomoravská</t>
  </si>
  <si>
    <t>Východná</t>
  </si>
  <si>
    <t>Spolu žiakov v ročníku</t>
  </si>
  <si>
    <t>Počet tried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</si>
  <si>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</si>
  <si>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</si>
  <si>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</si>
  <si>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</si>
  <si>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</si>
  <si>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Školské zariadenia mesta Trenčín, Kubranská cesta 20, Trenčín</t>
  </si>
  <si>
    <t>Základná umelecká škola Karola Pádivého, Nám.SNP 2, Trenčín</t>
  </si>
  <si>
    <t>Centrum voľného času Trenčín, Východná č.9, Trenčín</t>
  </si>
  <si>
    <t>ZŠ Veľkomoravská, Veľkomoravská č.12, Trenčín</t>
  </si>
  <si>
    <t>ZŠ Dlhé Hony, Dlhé Hony č.1, Trenčín</t>
  </si>
  <si>
    <t>ZŠ Bezručova, Bezručova č.66, Trenčín</t>
  </si>
  <si>
    <t>ZŠ Hodžova, Hodžova č.37, Trenčín</t>
  </si>
  <si>
    <t>ZŠ L. Novomeského, L.Novomeského č.11, Trenčín</t>
  </si>
  <si>
    <t>ZŠ Východná, Východná č.9, Trenčín</t>
  </si>
  <si>
    <t>ZŠ Na dolinách, Na dolinách 27, Trenčín</t>
  </si>
  <si>
    <t>ZŠ Kubranská, Kubranská 80</t>
  </si>
  <si>
    <t>MŠ Šafárikova, Šafárikova 11, Trenčín</t>
  </si>
  <si>
    <t>Príloha č. 23</t>
  </si>
  <si>
    <t>Číslo riadku</t>
  </si>
  <si>
    <t>Ukazovateľ (hlavná kategória ekonomickej klasifikácie)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</si>
  <si>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</si>
  <si>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</si>
  <si>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</si>
  <si>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</si>
  <si>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</si>
  <si>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</si>
  <si>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</si>
  <si>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</si>
  <si>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</si>
  <si>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</si>
  <si>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</si>
  <si>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</si>
  <si>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</si>
  <si>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</si>
  <si>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t>Zmena stavu vybraných záväzkov (+,-) (r.19 - r.18)</t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</si>
  <si>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</si>
  <si>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</si>
  <si>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</si>
  <si>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</si>
  <si>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</si>
  <si>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312 001: transfer</t>
  </si>
  <si>
    <t>536/CC/19</t>
  </si>
  <si>
    <t>31.1.2020</t>
  </si>
  <si>
    <t>posledná: 17 044 €</t>
  </si>
  <si>
    <t>Centrum voľného času, m.r.o.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</si>
  <si>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</si>
  <si>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</si>
  <si>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</si>
  <si>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mesačne: 17 084 €</t>
  </si>
  <si>
    <t>Príloha č.7</t>
  </si>
  <si>
    <t>Poskytnutá dotácia</t>
  </si>
  <si>
    <t>1. - 4.r. (vrátane prípravného roč.)</t>
  </si>
  <si>
    <t>Kubranská - Aprogén</t>
  </si>
  <si>
    <t>223 001: Za jasle odborné činnosti</t>
  </si>
  <si>
    <t>223 001: Odborné činnosti</t>
  </si>
  <si>
    <t>361/CC/20</t>
  </si>
  <si>
    <t>31.1.2021</t>
  </si>
  <si>
    <t>mesačne: 13 333 €</t>
  </si>
  <si>
    <t>posledná: 13 373 €</t>
  </si>
  <si>
    <t>Ministerstvo financií SR</t>
  </si>
  <si>
    <t>Staroba</t>
  </si>
  <si>
    <t>Ostatné kapitálové výdavky</t>
  </si>
  <si>
    <t>Bankové úvery</t>
  </si>
  <si>
    <t>Prevod prostriedkov z peňažných fondov</t>
  </si>
  <si>
    <t>Tenisové centrum mládeže Trenčín</t>
  </si>
  <si>
    <t>Tenisový klub AS Trenčín</t>
  </si>
  <si>
    <t>Golfový a športový klub Trenčín</t>
  </si>
  <si>
    <t>Memoriál Jána Cellera</t>
  </si>
  <si>
    <t>Florbalový klub AS Trenčín</t>
  </si>
  <si>
    <t>Hviezdy deťom</t>
  </si>
  <si>
    <t>Trenčiansky kolkársky klub</t>
  </si>
  <si>
    <t>Súkromná základná škola pre žiakov s autizmom</t>
  </si>
  <si>
    <t>x</t>
  </si>
  <si>
    <t>Kanoistický klub TTS Trenčín</t>
  </si>
  <si>
    <t>Tanečný klub AURA DANCE</t>
  </si>
  <si>
    <t>Vzdelávanie nedefinované podľa úrovne</t>
  </si>
  <si>
    <t>Primárne vzdelávanie s bežnou starostlivosťou</t>
  </si>
  <si>
    <t>717: Realizácia stavieb</t>
  </si>
  <si>
    <t>341: Prostriedky z rozpočtu EÚ</t>
  </si>
  <si>
    <t>CPR Trenčín</t>
  </si>
  <si>
    <t>Divadelná Opatová</t>
  </si>
  <si>
    <t>Hospic Milosrdných sestier</t>
  </si>
  <si>
    <t>BAMBULA</t>
  </si>
  <si>
    <t>TRAKT</t>
  </si>
  <si>
    <t>Seniorklub Družba</t>
  </si>
  <si>
    <t>Veselé Zlatovce</t>
  </si>
  <si>
    <t>Asociácia zväzov zdravotne postihnutých</t>
  </si>
  <si>
    <t>OZ Amazonky</t>
  </si>
  <si>
    <t>Silnejší - Slabším</t>
  </si>
  <si>
    <t>Centrum nepočujúcich ANEPS Trenčín</t>
  </si>
  <si>
    <t>Okresný úrad Trenčín</t>
  </si>
  <si>
    <t>Úrad práce, sociálnych vecí a rodiny SR</t>
  </si>
  <si>
    <t>Ministerstvo dopravy, výstavby a regionálneho rozvoja SR</t>
  </si>
  <si>
    <t>Prenesený výkon štátnej správy starostlivosti o životné prostredie</t>
  </si>
  <si>
    <t>Prenesený výkon štátnej správy na úseku miest. účel.komunikácií</t>
  </si>
  <si>
    <t>Prenesený výkon štátnej správy v oblasti stav.poriadku  vr.vyvlast.</t>
  </si>
  <si>
    <t>Ministerstvo vnútra SR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</si>
  <si>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</si>
  <si>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</si>
  <si>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</si>
  <si>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Prídavky na deti</t>
  </si>
  <si>
    <t>Dobrovoľná požiarna ochrana SR</t>
  </si>
  <si>
    <t>Bežné príjmy, príjmové finančné operácie</t>
  </si>
  <si>
    <t>Program 4.4: Verejné toalety</t>
  </si>
  <si>
    <t>Program 4.5: Prevádzka mestských trhovísk</t>
  </si>
  <si>
    <t>Program 4.7:  Miestne média</t>
  </si>
  <si>
    <t>Program 5.2: Verejné osvetlenie</t>
  </si>
  <si>
    <t>Program 6.2.1:  Správa a údržba pozemných komunikácií</t>
  </si>
  <si>
    <t>Program 8.3.4.: Plavárne</t>
  </si>
  <si>
    <t>Program 8.3.3.: Zimný štadión</t>
  </si>
  <si>
    <t>Program 8.3.5.: Mobilná ľadová plocha</t>
  </si>
  <si>
    <t>Program 8.4. Mobiliár mesta a detské ihriská</t>
  </si>
  <si>
    <t>Program 10.3. Ochrana prostredia pre život</t>
  </si>
  <si>
    <t xml:space="preserve">Program 10.1.: Verejná zeleň </t>
  </si>
  <si>
    <t>Program 10.1.Verejná zeleň - Brezina a Soblahov</t>
  </si>
  <si>
    <t>Program 10.5.: Fontány</t>
  </si>
  <si>
    <t>Program 10.6.: Podporná činnosť</t>
  </si>
  <si>
    <t>Program 11.4.1.: Nocľaháreň</t>
  </si>
  <si>
    <t>Program 11.4.2.: Nízkoprahové denné centrum</t>
  </si>
  <si>
    <t>Program 11.5.2:  Zariadenie pre seniorov</t>
  </si>
  <si>
    <t>Program 11.7.: Terénna opatrovateľská služba</t>
  </si>
  <si>
    <t>Program 11.10.: Prepravná služba</t>
  </si>
  <si>
    <t>Program 11.11.: Manažment SSMT</t>
  </si>
  <si>
    <t>Program 11.6.: Zariadenie opatr. služby</t>
  </si>
  <si>
    <t>Program 7.1.: Materské školy</t>
  </si>
  <si>
    <t>Program 7.2.: Základné školy</t>
  </si>
  <si>
    <t>Program 7.3.:  Voľno časové vzdelávanie</t>
  </si>
  <si>
    <t>Program 7.4.: Školské jedálne</t>
  </si>
  <si>
    <t>Program 7.5.: Politika vzdelávania</t>
  </si>
  <si>
    <t>Program 7.2. Základné škola</t>
  </si>
  <si>
    <t>Program 7.4. Školské jedálne</t>
  </si>
  <si>
    <t>Program 7.3. Voľnočasové vzdelávanie</t>
  </si>
  <si>
    <t>Program 7.2.</t>
  </si>
  <si>
    <t>Program 8.3.3. Zimný štadióm</t>
  </si>
  <si>
    <t>713: Nákup strojov...</t>
  </si>
  <si>
    <t xml:space="preserve">717: Realizácia stavieb </t>
  </si>
  <si>
    <t>713: Nákup strojov..</t>
  </si>
  <si>
    <t xml:space="preserve">Štátny fond rozvoja bývania 48 b.j. </t>
  </si>
  <si>
    <t>Štátny fond rozvoja bývania 26 b.j.</t>
  </si>
  <si>
    <t>Badminton klub MI Trenčín</t>
  </si>
  <si>
    <t>Climberg športový klub</t>
  </si>
  <si>
    <t>Kultúrne centrum Opatová</t>
  </si>
  <si>
    <t>231: Príjem z predaja kapitálových aktív</t>
  </si>
  <si>
    <t>Nevyč.dotácia</t>
  </si>
  <si>
    <t>k 31.12.2022</t>
  </si>
  <si>
    <t>292 019: príjmy z refundácie</t>
  </si>
  <si>
    <t>Pomoc pri osobnej starostlivosti o dieťa</t>
  </si>
  <si>
    <t>Program 11.1.2: Pomoc pri osobnej starostlivosti o dieťa</t>
  </si>
  <si>
    <t>Program 11.1.1: Detské jasle</t>
  </si>
  <si>
    <t>Prepočítaný počet zamestnancov základných škôl  v šk.roku roku 2022/2023</t>
  </si>
  <si>
    <t>Vzpieračský klub KOFI Trenčín</t>
  </si>
  <si>
    <t>Športový klub REHAFIT</t>
  </si>
  <si>
    <t>Silnejší slabším oz</t>
  </si>
  <si>
    <t>Ipčko</t>
  </si>
  <si>
    <t>I Ambitious</t>
  </si>
  <si>
    <t>Detská reštaurácia</t>
  </si>
  <si>
    <t>Športový klub polície Trenčín</t>
  </si>
  <si>
    <t>Jednota Sokol</t>
  </si>
  <si>
    <t>Vrchárska koruna Trenčianska</t>
  </si>
  <si>
    <t>Trenčín inline</t>
  </si>
  <si>
    <t>LUAN občianske združenie</t>
  </si>
  <si>
    <t>Pro Sport Team o.z.</t>
  </si>
  <si>
    <t>Občianske združenie Honkadori Dojo Trenčín</t>
  </si>
  <si>
    <t>Joga v škole</t>
  </si>
  <si>
    <t>Hádzanársky klub Asociácie športov Trenčín</t>
  </si>
  <si>
    <t>Športové lezenie Trenčín</t>
  </si>
  <si>
    <t>AUTIS o.z.</t>
  </si>
  <si>
    <t>Basketbalový klub Trenčín</t>
  </si>
  <si>
    <t>Trenčiansky futbalový klub 1939 Záblatie</t>
  </si>
  <si>
    <t>This is my sen cup</t>
  </si>
  <si>
    <t>Maratón pohybu</t>
  </si>
  <si>
    <t>Hantákov memoriál</t>
  </si>
  <si>
    <t>Night run Trenčín</t>
  </si>
  <si>
    <t>Dart club Trenčín</t>
  </si>
  <si>
    <t>ŠKRUPINKA Trenčín</t>
  </si>
  <si>
    <t>Projekt Ostrov</t>
  </si>
  <si>
    <t>Dychová hudba Textilanka</t>
  </si>
  <si>
    <t>Detský folklórny súbor Kornička</t>
  </si>
  <si>
    <t>Trenčiansky spevácky zbor</t>
  </si>
  <si>
    <t>Trenčan, folklórny súbor Gymnázia Ľ.Štúra</t>
  </si>
  <si>
    <t>Trenčianska nadácia</t>
  </si>
  <si>
    <t>KC Kubra</t>
  </si>
  <si>
    <t>Komorný orchester mesta Trenčín</t>
  </si>
  <si>
    <t>Občania pre Trenčín</t>
  </si>
  <si>
    <t>Činnosť FS Trenčan</t>
  </si>
  <si>
    <t>Dobrý bazár</t>
  </si>
  <si>
    <t>Materiálne zabezpečenie na chod a činnosť súborov Musica Poetica a Fistulatoris consort</t>
  </si>
  <si>
    <t>Dotácie v sociálnej oblasti v roku 2022</t>
  </si>
  <si>
    <t>Zväz diabetikov Slovenska - ZO DIAVIA Trenčín</t>
  </si>
  <si>
    <t>Materské centrum SRDIEČKO</t>
  </si>
  <si>
    <t>Aby sa nikto necítil osamotený</t>
  </si>
  <si>
    <t>Občianske združenie pri ZŠ Kubra - ARCHA</t>
  </si>
  <si>
    <t>Hospic milosrdných sestier</t>
  </si>
  <si>
    <t>Zelená galéria</t>
  </si>
  <si>
    <t>716: Projektová dokumentácia</t>
  </si>
  <si>
    <t>01.6.0.</t>
  </si>
  <si>
    <t>Všeobecné verejné služby inde neklasifikované</t>
  </si>
  <si>
    <t>Škola v prírode</t>
  </si>
  <si>
    <t>Lyžiarsky kurz</t>
  </si>
  <si>
    <t>Jazykový kurz - Ukrajina</t>
  </si>
  <si>
    <t>Podpora integrácie žiakov z Ukrajiny</t>
  </si>
  <si>
    <t>Zabezpečenie akcieschopnosti  DHZO Trenčín-Opatová</t>
  </si>
  <si>
    <t>Zabezpečenie akcieschopnosti  DHZO Trenčín-Záblatie</t>
  </si>
  <si>
    <t>Nadácia EPH</t>
  </si>
  <si>
    <t>Fond na podporu športu</t>
  </si>
  <si>
    <t>Príloha č.14</t>
  </si>
  <si>
    <t>Mesto Trenčín nemalo v roku 2023 zriadené príspevkové organizácie</t>
  </si>
  <si>
    <t>k 31.12.2023</t>
  </si>
  <si>
    <t>Súvaha Mesta Trenčín a mestských rozpočtových organizácií mesta  k 31.12.2023</t>
  </si>
  <si>
    <t>Pohľadávky Mesta Trenčín k 31.12.2023</t>
  </si>
  <si>
    <t>07</t>
  </si>
  <si>
    <t>07.2.1.</t>
  </si>
  <si>
    <t>Zdravotníctvo</t>
  </si>
  <si>
    <t>Všeobecná zdravotná starostlivosť</t>
  </si>
  <si>
    <t>Bežné výdavky podľa funkčnej klasifikácie k 31.12.2023</t>
  </si>
  <si>
    <t>Kapitálové výdavky podľa funkčnej klasifikácie k 31.12.2023</t>
  </si>
  <si>
    <t>Bežné a kapitálové výdavky podľa ekonomickej klasifikácie k 31.12.2023</t>
  </si>
  <si>
    <t>223 001: Obslužné činnosti - upratovanie, pranie, žehlenie</t>
  </si>
  <si>
    <t>Rozvoz stravy</t>
  </si>
  <si>
    <t>212 004: Z prenajatých strojov, prístrojov, zariadení, techniky a náradia</t>
  </si>
  <si>
    <t>223 004: Za prebytočný hnuteľný majetok</t>
  </si>
  <si>
    <t>229 012: Z dobropisov</t>
  </si>
  <si>
    <t>312: Granty</t>
  </si>
  <si>
    <t>Športová Akadémia Trenčín</t>
  </si>
  <si>
    <t>DIVO občasné združenie</t>
  </si>
  <si>
    <t>Stolnotenisový klub Keraming</t>
  </si>
  <si>
    <t>UNIPLÁŽ</t>
  </si>
  <si>
    <t>TJ CEVA</t>
  </si>
  <si>
    <t>Elite Fight Promotion Trenčín</t>
  </si>
  <si>
    <t>Otužilci a zimní plavci Trenčianske tulene, o.z.</t>
  </si>
  <si>
    <t>Športový klub Real team Trenčín</t>
  </si>
  <si>
    <t>Gevorg Tennis Club o.z.</t>
  </si>
  <si>
    <t>Športový klub Dračia Légia</t>
  </si>
  <si>
    <t>Karate klub Ekonóm Trenčín</t>
  </si>
  <si>
    <t>Športový klub nepočujúcich</t>
  </si>
  <si>
    <t>Tanečný klub Dukla Trenčín</t>
  </si>
  <si>
    <t xml:space="preserve">Telovýchodná jednota ŠTADIÓN </t>
  </si>
  <si>
    <t>Laugarício COMBAT CLUB</t>
  </si>
  <si>
    <t>Dračia légia</t>
  </si>
  <si>
    <t>Kraso Trenčín</t>
  </si>
  <si>
    <t>Dotácie v oblasti športu na činnosť v roku 2023</t>
  </si>
  <si>
    <t>Slovenský skauting 93.prístav Tortuga Trenčín</t>
  </si>
  <si>
    <t>Vzdelávacie centrum KRTKO a jeho kamaráti</t>
  </si>
  <si>
    <t>COOLTÚRNE o.z.</t>
  </si>
  <si>
    <t>CPR Trenčín o.z.</t>
  </si>
  <si>
    <t>Klub platikových modelárov</t>
  </si>
  <si>
    <t>Šachový klub Trenčín</t>
  </si>
  <si>
    <t>Duša na G(g)auči</t>
  </si>
  <si>
    <t>Sebarozvojový kemp DASATO Academy</t>
  </si>
  <si>
    <t>Dance with me</t>
  </si>
  <si>
    <t>Kurz kajakovania</t>
  </si>
  <si>
    <t>Rozohranie</t>
  </si>
  <si>
    <t xml:space="preserve">Pohybom k celkovému rozvoju osobnosti </t>
  </si>
  <si>
    <t>Slow</t>
  </si>
  <si>
    <t>Slabší bodujú - Rodinný florbalový turnaj</t>
  </si>
  <si>
    <t>Rozprávkové ihrisko</t>
  </si>
  <si>
    <t>Stavba modelov nás baví, tešíme sa na súťaž</t>
  </si>
  <si>
    <t>Šach - využitie voľného času u detí a mládeže</t>
  </si>
  <si>
    <t>Dotácie v oblasti športu a mládeže v roku 2023</t>
  </si>
  <si>
    <t>Letný futbalový turnaj prípraviek</t>
  </si>
  <si>
    <t>Kultúrne centrum Sihoť</t>
  </si>
  <si>
    <t>9.ročník Trenčianska bežecká liga</t>
  </si>
  <si>
    <t>Moderná koncepcia približovania telesnej kultúry a športu deťom predškolského veku</t>
  </si>
  <si>
    <t xml:space="preserve">XI.ročník Detská športová olympiáda </t>
  </si>
  <si>
    <t>Enduro cup stred</t>
  </si>
  <si>
    <t>GEVORG TENNIS CLUB o.z.</t>
  </si>
  <si>
    <t>BABOLAT CUP</t>
  </si>
  <si>
    <t>Športovo-golfová olympiáada v Hoss Sport Center Trenčín</t>
  </si>
  <si>
    <t>Medzinárodné Majstrovstvá Slovenska Seniorov a Juniorov v Muaythai 2023</t>
  </si>
  <si>
    <t>20.výročie klubu</t>
  </si>
  <si>
    <t>Prebudenie draka 2023</t>
  </si>
  <si>
    <t>Tanečný klub DUKLA Trenčín pri Strednej umeleckej škole v Trenčíne</t>
  </si>
  <si>
    <t>Majstrovstvá Slovenska v štandardných tancoch 2023</t>
  </si>
  <si>
    <t>Sportkemp o.z.</t>
  </si>
  <si>
    <t>Trenčiansky triatlon</t>
  </si>
  <si>
    <t>Centrum včasnej intervencie Trenčín n.o.</t>
  </si>
  <si>
    <t>Pohyb je pre každého</t>
  </si>
  <si>
    <t>Benefičný beh Pro Autis 11.ročník</t>
  </si>
  <si>
    <t>Salming Floorbal Camp 2023 - 12.ročník</t>
  </si>
  <si>
    <t>Hokejový klub DUKLA Trenčín</t>
  </si>
  <si>
    <t>Joga v škole a škôlke</t>
  </si>
  <si>
    <t>DIVO občasné združenie, o.z.</t>
  </si>
  <si>
    <t>DIVOtraily - úprava a dobudovanie nových prvkov</t>
  </si>
  <si>
    <t>AS Trenčín, a.s.</t>
  </si>
  <si>
    <t>hokejbalový turnaj o pohár Sihote</t>
  </si>
  <si>
    <t>Cross run Opatová 2023</t>
  </si>
  <si>
    <t>Žufferer Cup 2023</t>
  </si>
  <si>
    <t>Cvičíme spolu všetky generácie</t>
  </si>
  <si>
    <t>Laugaricio Combat Club</t>
  </si>
  <si>
    <t>LCC Fight Night</t>
  </si>
  <si>
    <t>Tenisový klub Tenkur Trenčín - Gabriel Martiška</t>
  </si>
  <si>
    <t>Detský Davis Cup a Fed Cup mesta Trenčín do 10 rokov</t>
  </si>
  <si>
    <t>9.ročník Trenčín inline 2023</t>
  </si>
  <si>
    <t>OZ Kolotoč pri centre voľného času</t>
  </si>
  <si>
    <t>ILYO - TEAKWONDO Trenčín o.z.</t>
  </si>
  <si>
    <t>Taekwondo Trenčín Open 2023</t>
  </si>
  <si>
    <t>Telovýchovná jednota ŠTADIÓN</t>
  </si>
  <si>
    <t>Winter edition 3x3</t>
  </si>
  <si>
    <t>Spoločnosť Downovho syndrómu na Slovensku</t>
  </si>
  <si>
    <t>Plavecké preteky Veľká cena primátora mesta Trenčín zdravotne znevýhodnenej mládeže a 6.Majstrovstvá Slovenska v plávaní mládeže s Downovým syndrómom</t>
  </si>
  <si>
    <t>UNIPLÁŽ o.z.</t>
  </si>
  <si>
    <t>Turnaj "A" kategórie majstrovstiev SR Slovenskej volejbalovej federácie</t>
  </si>
  <si>
    <t>Stolnotenisový klub KERAMING Trenčín</t>
  </si>
  <si>
    <t>Usporiadanie pohára Oslobodenia mesta Trenčín s medzinárodnou účasťou</t>
  </si>
  <si>
    <t>Nordic Walking Trenčín a okolie</t>
  </si>
  <si>
    <t>Klubové sústredenie na Svetový pohár v NW</t>
  </si>
  <si>
    <t>Dance Motion</t>
  </si>
  <si>
    <t>Športový klub Real Team Trenčín o.z.</t>
  </si>
  <si>
    <t>Slovenský pohár v karate detí a žiakov 1.kolo</t>
  </si>
  <si>
    <t>Spojená škola internátna</t>
  </si>
  <si>
    <t>Letná atletická paralympiáda</t>
  </si>
  <si>
    <t>Beach handball Cup 2023</t>
  </si>
  <si>
    <t>Medzinárodný turnaj detí a mládeže</t>
  </si>
  <si>
    <t>LOVE Trenčín</t>
  </si>
  <si>
    <t>Basketbal na kolesách</t>
  </si>
  <si>
    <t>dodatok</t>
  </si>
  <si>
    <t>Dračia Légia Trenčín</t>
  </si>
  <si>
    <t>Dragon Boat Grand Prix Majstrovstvá Slovenska dračích lodí 2023</t>
  </si>
  <si>
    <t xml:space="preserve">100.výročie kanoistiky a kanoistického klubu v Trenčíne </t>
  </si>
  <si>
    <t>Trenčianska regata 65.ročník - kanoistický pretekov</t>
  </si>
  <si>
    <t>Buď lepší</t>
  </si>
  <si>
    <t>Challenge day 13.ročník</t>
  </si>
  <si>
    <t>2.ročník Buď fit s Rehafit</t>
  </si>
  <si>
    <t>MS Dance Studio</t>
  </si>
  <si>
    <t>Tanečný pohár MS Dance</t>
  </si>
  <si>
    <t>Telovýchovný klub - LUKE</t>
  </si>
  <si>
    <t>Zdravá chrbtica</t>
  </si>
  <si>
    <t>Dotácie v  oblasti kultúry  v roku 2023</t>
  </si>
  <si>
    <t>Trenčania pre Trenčín</t>
  </si>
  <si>
    <t>Dni Sihote Trenčín</t>
  </si>
  <si>
    <t>Mestské divadlo Trenčín - MDT o.z.</t>
  </si>
  <si>
    <t>SHUFFLEBEAR s.r.o.</t>
  </si>
  <si>
    <t>Folklórny súbor Nadšenci</t>
  </si>
  <si>
    <t>Občianske  združenie Trenčianska jazzová spoločnosť FÉNIX</t>
  </si>
  <si>
    <t>Hospis Milosrdných sestier</t>
  </si>
  <si>
    <t>Dogma Divadlo</t>
  </si>
  <si>
    <t xml:space="preserve">Piaristické gymnázium J.Braneckého </t>
  </si>
  <si>
    <t>OO JDS Trenčín</t>
  </si>
  <si>
    <t>Trenčianske folklórne združenie STODOLA</t>
  </si>
  <si>
    <t>Spevokol Sihotiar oz</t>
  </si>
  <si>
    <t>Občianske združenie Hudobno spevácka folklórna skupina Opatovani</t>
  </si>
  <si>
    <t>Susan Slovakia s.r.o.</t>
  </si>
  <si>
    <t>Mgr. Art. Zuzana Budinská ArtD.</t>
  </si>
  <si>
    <t>Klub priateľov vážnej hudby</t>
  </si>
  <si>
    <t>o.z. Ruku na TO</t>
  </si>
  <si>
    <t>Rendek Holding s.r.o.</t>
  </si>
  <si>
    <t>Silnejší slabším o.z.</t>
  </si>
  <si>
    <t>Face2bass Klub</t>
  </si>
  <si>
    <t>Folklórny súbor ÚSMEV</t>
  </si>
  <si>
    <t>Detský folklórny súbor Radosť v Trenčíne</t>
  </si>
  <si>
    <t>Občianske združenie Naše Záblatie</t>
  </si>
  <si>
    <t>Folklórny súbor Družba</t>
  </si>
  <si>
    <t>Klub detí a mládeže Tigríky</t>
  </si>
  <si>
    <t xml:space="preserve">Formaat </t>
  </si>
  <si>
    <t>Spojená škola internátna L.Stárka</t>
  </si>
  <si>
    <t>Džamál</t>
  </si>
  <si>
    <t>Trenčianske osvetov stredisko</t>
  </si>
  <si>
    <t>KULFOZ SK</t>
  </si>
  <si>
    <t>Nová Vlná oz</t>
  </si>
  <si>
    <t>Jerguš Oravec</t>
  </si>
  <si>
    <t>Clover media SK s.r.o.</t>
  </si>
  <si>
    <t>Kolomaž</t>
  </si>
  <si>
    <t>Via Laugaricio</t>
  </si>
  <si>
    <t>Quan Movemebt</t>
  </si>
  <si>
    <t>INNO sro</t>
  </si>
  <si>
    <t>Dni Sihote 2023</t>
  </si>
  <si>
    <t>Trenčianske Veselé paničky Windorské</t>
  </si>
  <si>
    <t>X-mas danse show</t>
  </si>
  <si>
    <t>Steps summer 2023 LIVE MUSIC</t>
  </si>
  <si>
    <t>Letný, vianočný galaprogram tanečného klubu Bambula</t>
  </si>
  <si>
    <t>Deň Rodiny 2023</t>
  </si>
  <si>
    <t>Činnosť FS Nadšenci 2023</t>
  </si>
  <si>
    <t>Zachovávanie kultúrnych tradícií a zvyklosti v mestskej časti Zlatovce</t>
  </si>
  <si>
    <t>XXX.Trenčiansky jazzový festival JAZZ POD HRADOm</t>
  </si>
  <si>
    <t>Slovenské tango - hudobný fenomén</t>
  </si>
  <si>
    <t>XI.benefičný koncert na podporu Hospicu Milosrdných sestier</t>
  </si>
  <si>
    <t>Z našej kuchyne alebo Dobre nech je tomu domu</t>
  </si>
  <si>
    <t>Štefans dom - tradičný tanečný dom je späť</t>
  </si>
  <si>
    <t>Činnos Dogma Divadla na rok 2023</t>
  </si>
  <si>
    <t>Činnosť speváckeho zboru PIARISSIMO</t>
  </si>
  <si>
    <t>Zabezpečenie činnosti DFS Kornička 2023</t>
  </si>
  <si>
    <t>Okresná prehliadka speváckych seniorských skupín</t>
  </si>
  <si>
    <t>Otvor srdce, daruj knihu</t>
  </si>
  <si>
    <t>14.Zlatovský festival dychových hudieb</t>
  </si>
  <si>
    <t>Hojné požehnanie vám nesieme</t>
  </si>
  <si>
    <t>Festival starej hudby AD fontes musica 2023</t>
  </si>
  <si>
    <t>2.ročník speváckej prehliadky seniorov "Hudba a spev korenie života"</t>
  </si>
  <si>
    <t>Činnosť TRAKT 2023</t>
  </si>
  <si>
    <t>Slovenský deň kroja tradície Trenčína</t>
  </si>
  <si>
    <t>Folklór Severu mesta Trenčín</t>
  </si>
  <si>
    <t>Bella (a) cappella</t>
  </si>
  <si>
    <t>Rudolf Dobiáš "Vianočný pozdrav" videoklp</t>
  </si>
  <si>
    <t>Festival Hudba pod hradom - jarná a jesenná časť</t>
  </si>
  <si>
    <t>Činnosť FS Seniorklub Družba Trenčín v roku 2023</t>
  </si>
  <si>
    <t>Festival "Piknik bez bariér"</t>
  </si>
  <si>
    <t>Trenčianske HRAdosti 2023</t>
  </si>
  <si>
    <t>Šanca na rozvoj</t>
  </si>
  <si>
    <t>FEST ART Trenčín 2023</t>
  </si>
  <si>
    <t>Rozvíjanie a zachovávanie ľudových tradícií</t>
  </si>
  <si>
    <t>Aj tento rok chceme hrať, spievať a aj tancovať, radosť vôkol rozdávať</t>
  </si>
  <si>
    <t>Občianske združenie Naše Záblatie, Udržiavanie tradícií v mestskej časti Záblatie</t>
  </si>
  <si>
    <t>Činnosť, nájomné a materiálové vybavenie súboru, nákup akordeónu, jesenné sústredenie 2023</t>
  </si>
  <si>
    <t>Záujmová činnosť speváckeho zboru, propagácia, rozvoj a zachovanie zborového spevu v meste a v regióne</t>
  </si>
  <si>
    <t>Nákup priestorov krojárne a krojové vybavenie</t>
  </si>
  <si>
    <t>Tigríkovská tancovačka</t>
  </si>
  <si>
    <t>Zakúpenie tanečných kostýmov na novy tanec</t>
  </si>
  <si>
    <t>For maat - činnosť v roku 2023</t>
  </si>
  <si>
    <t>Keď kroje roztancujú školu</t>
  </si>
  <si>
    <t>Podpora činnosť občianskeho združenia Džamál</t>
  </si>
  <si>
    <t>Tanečná šou krása tanca iných krajín</t>
  </si>
  <si>
    <t>Na vianoce doma</t>
  </si>
  <si>
    <t>Hudbou a tancom k inklúzii</t>
  </si>
  <si>
    <t>Spolu  v Opatovej</t>
  </si>
  <si>
    <t>Bolo raz umenie</t>
  </si>
  <si>
    <t>Výstavy súčasného vizuálneho umenia VIII</t>
  </si>
  <si>
    <t>The youniverse - NEON</t>
  </si>
  <si>
    <t>Činnosť komorného orchestra mesta Trenčín v roku 2023</t>
  </si>
  <si>
    <t>Festival dychových hudieb Okolo Trenčína</t>
  </si>
  <si>
    <t>Otvorený kultúrny priestor 2023: Jubileum - 50 rokov Klubu Lúč</t>
  </si>
  <si>
    <t>Spoznaj históriu Mesta Trenčín, jeho historických a kultúrnych pamiatok a zaujímavostí v vláčikom Vlak Matúš Čák</t>
  </si>
  <si>
    <t>Oslavy 90.výročia vzniku FS Kubra</t>
  </si>
  <si>
    <t>Kultúrne leto na Zámostí 2023</t>
  </si>
  <si>
    <t>Teleso Brezina</t>
  </si>
  <si>
    <t>Jazz Fest Trenčín</t>
  </si>
  <si>
    <t>Základná organizácia nedoslýchavaých</t>
  </si>
  <si>
    <t>Činnost a organizovanie ozdravno - rehabilitačnýh aktivít pre členo ZON v Trenčíne v roku 2023 spojená s prednáškami a poradenstvom</t>
  </si>
  <si>
    <t>AUTIS</t>
  </si>
  <si>
    <t>Felinoterapia a hipoterapia pre deti s autizmom v Trenčianskom autistickom centre PRO AUTIS</t>
  </si>
  <si>
    <t>ZO JDS Trenčín Sihoť</t>
  </si>
  <si>
    <t>Plán činnosti ZO JDS Trenčín - Sihoť na rok 2023</t>
  </si>
  <si>
    <t>Základná organizácia Jednoty dôchodcov Trenčín 02</t>
  </si>
  <si>
    <t>Finančné zabezpečenie ročného plánu činnosti ZO 02 JDS Trenčín</t>
  </si>
  <si>
    <t>Základná organizácia Jednoty dôchodcov Trenčín 05</t>
  </si>
  <si>
    <t>Celoročná činnosť ZO JDS Trenčín 05 v roku 2023</t>
  </si>
  <si>
    <t>Relax kurz spojený s Nordic Walking , zameraný na špecifické potreby onkologického pacienta</t>
  </si>
  <si>
    <t>Základná organizácia Jednoty dôchodcov Trenčín 01</t>
  </si>
  <si>
    <t>Finančné pokrytie plánu činnosti ZO JDS 01 Trenčín</t>
  </si>
  <si>
    <t>Slovenský zväz telesne postihnutých , Prvá základná organizácia č. 17</t>
  </si>
  <si>
    <t xml:space="preserve">Rekondícia ťažko telesne postihnutých </t>
  </si>
  <si>
    <t>Liga proti reumatizmu - Miestna pobočka Trenčín</t>
  </si>
  <si>
    <t>Rehabilitačno - liečebný pobyt pre seniorov</t>
  </si>
  <si>
    <t>Fit pre všetkých</t>
  </si>
  <si>
    <t xml:space="preserve">Pomoc ľuďom v krízových situáciách </t>
  </si>
  <si>
    <t>Dotácia na činnosť v roku 2023</t>
  </si>
  <si>
    <t>Marcus SK</t>
  </si>
  <si>
    <t>Bez rozdielov 1.ročník</t>
  </si>
  <si>
    <t>Sociálno - rekondičný pobyt nepočujúcich SRP nepočujúcih</t>
  </si>
  <si>
    <t>Asociácia zväzov zdravotne postihnutých v Trenčíne</t>
  </si>
  <si>
    <t>Využitie podporných terapeutických metód pri poskytovaní sociálnej služby</t>
  </si>
  <si>
    <t>Slovenský zväz protifašistických bojovníkov Základná organizácia Trenčín</t>
  </si>
  <si>
    <t>Činnosť ZO SZPB Trenčín 1 v roku 2023</t>
  </si>
  <si>
    <t>ZO JDS Trenčín - Odevák</t>
  </si>
  <si>
    <t>Celoročná činnosť ZO JDS Trenčín - Odevák</t>
  </si>
  <si>
    <t>Základná organizácia Jednoty dôchodcov na Slovensku Trenčín č.19</t>
  </si>
  <si>
    <t>Celoročná činnosť ZO JDS na rok 2023</t>
  </si>
  <si>
    <t>Základná organizácia Jednoty dôchodcov na Slovensku Trenčín 06</t>
  </si>
  <si>
    <t>Hipoterapia pre žiakov s autizmom</t>
  </si>
  <si>
    <t>OMEGA</t>
  </si>
  <si>
    <t>Destigmatizácia duševných ochorení výtvarnými činnosťami</t>
  </si>
  <si>
    <t>Trenčín Na ceste o.z.</t>
  </si>
  <si>
    <t>Vykurovanie prevádzky chránenej dielne - kaviareň Na ceste 2023</t>
  </si>
  <si>
    <t>Organizácia postihnutých chronickými chorobami Trenčín</t>
  </si>
  <si>
    <t>Rekondičný pobyt pre ZP v penzióne ZORA v Tatranskej Lomnici pre 50 členov, 15.-.21.052023</t>
  </si>
  <si>
    <t>Združenie kresťanských seniorov Slovenska - klub Trenčín - mesto</t>
  </si>
  <si>
    <t>Činnosť zameraná na zlepšenie kvality života seniorov v oblastiach : sociálny kontakt, športová činnosť a kultúrna a vzdelávacia činnosť</t>
  </si>
  <si>
    <t>Trenčianske dobrovoľnícke centrum o.z.</t>
  </si>
  <si>
    <t>Trenčín pomáha Ukrajine</t>
  </si>
  <si>
    <t>Základná organizácia Jednoty dôchodcov č. 30, Trenčín - Juh</t>
  </si>
  <si>
    <t>Zdá sa, že ešte stále bude neisto - skúsme to zmeniť</t>
  </si>
  <si>
    <t>Ars Vivendi - regionálne združenie na podporu duševného zdravia a na pomoc duševne chorým v regióne Trenčín</t>
  </si>
  <si>
    <t>Inovácie v oblasti poskytovanie sociálnych služieb II.</t>
  </si>
  <si>
    <t>Pobočka materského centra Srdiečko 2023</t>
  </si>
  <si>
    <t>Slovenský zväz telesne postihnutých , Prvá základná organizácia č. 57 Trenčín</t>
  </si>
  <si>
    <t>Aktivity členov základnej organizácie v roku 2023</t>
  </si>
  <si>
    <t>Jednota dôchodcov na Slovensku</t>
  </si>
  <si>
    <t>Galéria M.A.Bazovského</t>
  </si>
  <si>
    <t>Rada rodičovského združenia pri 7.ZŠ</t>
  </si>
  <si>
    <t>Združenie rodičov a priateľov MŠ Medňanského</t>
  </si>
  <si>
    <t>Občianske združenie rodičov pri MŠ Opatovská</t>
  </si>
  <si>
    <t>Deťom, n.f. pri ZŠ Ul.L.Novomeského</t>
  </si>
  <si>
    <t>Združenie rodičov ZŠ Dlhé Hony</t>
  </si>
  <si>
    <t>Občianske združenie MŠ Dúha</t>
  </si>
  <si>
    <t>Rodičovské združenie pri ZUŠ Trenčín</t>
  </si>
  <si>
    <t>Občianske združenie Komenský</t>
  </si>
  <si>
    <t>Akadémia tretieho veku Trenčín</t>
  </si>
  <si>
    <t>Škola a galéria 2023</t>
  </si>
  <si>
    <t>Mama je len jedna - po roku</t>
  </si>
  <si>
    <t>Média, svet a ja</t>
  </si>
  <si>
    <t>Meduškina letná čitáreň</t>
  </si>
  <si>
    <t>Montessori "zašívarnička"</t>
  </si>
  <si>
    <t xml:space="preserve">Vybudovanie oddychovej a komunikačnej zóny </t>
  </si>
  <si>
    <t>Zefektívnenie a skvalitnenie práce školského podporného tímu</t>
  </si>
  <si>
    <t>Deň rodiny - Dobrodružná cesta vesmírom s ufákom Kubríkom</t>
  </si>
  <si>
    <t>Relaxačný kútik</t>
  </si>
  <si>
    <t>Trenčín, moje rodné mesto</t>
  </si>
  <si>
    <t>Ako pomôcť mladým ľuďom v Trenčíne zvládať bolesti duše?</t>
  </si>
  <si>
    <t>VIII.ročník Bienále figurálnej kresby a maľby</t>
  </si>
  <si>
    <t>Vytvorenie komunitného priestoru pre inkluzívny tím v ZŠ Veľkomoravská</t>
  </si>
  <si>
    <t>Dobrodružná cesta s Krtkom a Biby</t>
  </si>
  <si>
    <t>Dotácie v  oblasti školstva  v roku 2023</t>
  </si>
  <si>
    <t>Misia lásky o.z.</t>
  </si>
  <si>
    <t>OZ Msmedical</t>
  </si>
  <si>
    <t>Vieme to lepšie</t>
  </si>
  <si>
    <t>Nestrácajme čas</t>
  </si>
  <si>
    <t>ENVIRok</t>
  </si>
  <si>
    <t>Bioodpad - aktuálna výzva</t>
  </si>
  <si>
    <t>Park Nozdrkovce</t>
  </si>
  <si>
    <t>Family Garden II</t>
  </si>
  <si>
    <t>Voda v nás</t>
  </si>
  <si>
    <t>Revitalizácia psej dráhy s prednáškami pre školy</t>
  </si>
  <si>
    <t xml:space="preserve">Včelie kráľovstvo </t>
  </si>
  <si>
    <t>Spevavo-bylinkový areál</t>
  </si>
  <si>
    <t>Dotácie v  oblasti životného prostredia  v roku 2023</t>
  </si>
  <si>
    <t>Finančné operácie podľa ekonomickej  klasifikácie k 31.12.2023</t>
  </si>
  <si>
    <t>Účasť na majetku</t>
  </si>
  <si>
    <t>Prehľad dlhu v zmysle § 17, ods. 6,7 zákona č. 583/2004 o rozpočtových pravidlách územnej samosprávy v znení neskorších predpisov k 31.12.2023</t>
  </si>
  <si>
    <t>Splátky od 1.1.2023 do 31.12.2023</t>
  </si>
  <si>
    <t xml:space="preserve"> k 31.12.2023 v EUR</t>
  </si>
  <si>
    <t>Poskytovateľ úveru</t>
  </si>
  <si>
    <t>482/CC/22</t>
  </si>
  <si>
    <t>mesačne: 22.500 €</t>
  </si>
  <si>
    <t>posledná 22.500 €</t>
  </si>
  <si>
    <t>0248/23/80226</t>
  </si>
  <si>
    <t>mesačne: 83.333,00 €</t>
  </si>
  <si>
    <t xml:space="preserve">dodatok č.1  </t>
  </si>
  <si>
    <t>v roku 2023</t>
  </si>
  <si>
    <t>posledná: 83.369,00 €</t>
  </si>
  <si>
    <t>Projekt "Čítame pre radosť"</t>
  </si>
  <si>
    <t>Profesijný rozvoj pedagogických zamestnancov a odborných zamestnancov</t>
  </si>
  <si>
    <t>Prijaté bežné dotácie v roku 2023</t>
  </si>
  <si>
    <t>Ministerstvo práce, sociálnych vecí a rodiny</t>
  </si>
  <si>
    <t>TreBuCHET - Trenčín, Bučovice, Chránime Európske Tradície</t>
  </si>
  <si>
    <t>Refundácia verejno - prospešné práce</t>
  </si>
  <si>
    <t>Prvá stavebná sporiteľňa a.s.</t>
  </si>
  <si>
    <t>Projekt Výsadba stromoradia z listnatých stromov - Nozdrkovský chodník</t>
  </si>
  <si>
    <t>Projekt Výsadba lipy slobody na Mierovom námestí v Trenčíne</t>
  </si>
  <si>
    <t>Dotácia na nové osvetlenie a oplotenie futbalového štadiónu Trenčín-Záblatie</t>
  </si>
  <si>
    <t>Dotácia na výstavbu vonkajšieho altánku ZŠ Veľkomoravská</t>
  </si>
  <si>
    <t>Ministerstvo kultúry SR</t>
  </si>
  <si>
    <t>Rekonštrukcia južnej časti múru Mestského opevnenia - Trenčín</t>
  </si>
  <si>
    <t>Zelené pľúca mesta - Revitalizácia priestoru átria</t>
  </si>
  <si>
    <t>Zelené pľúca mesta - Revitalizácia parku Úspech Trenčín</t>
  </si>
  <si>
    <t>Zelené pľúca mesta - Revitalizácia verejného priestoru Považská Trenčín</t>
  </si>
  <si>
    <t>Revitalizácia verejného priestoru Rozkvet</t>
  </si>
  <si>
    <t>Revitalizácia vnútrobloku Pádivec</t>
  </si>
  <si>
    <t>Revitalizácia ul. 1.mája</t>
  </si>
  <si>
    <t>Revitalizácia ul. Hviezdoslavova</t>
  </si>
  <si>
    <t>Zlepšenie enviromentálnych aspektov v meste Trenčín- vybudovanie prvkov infraštruktúry pri regenerácii Sihoť, Turkovej</t>
  </si>
  <si>
    <t>Zvýšenie mestskej mobility budovaním siete cyklistickej infraštruktúry v Trenčíne: Vetva D Zlatovská</t>
  </si>
  <si>
    <t>Zvýšenie mestskej mobility budovaním siete cyklistickej infraštruktúry v Trenčíne: Ul. Stárka k priemyselnému parku</t>
  </si>
  <si>
    <t>Zvýšenie mestskej mobility budovaním siete cyklistickej infraštruktúry v Trenčíne: Bratislavská, Žabinská, Palackého</t>
  </si>
  <si>
    <t>Zvýšenie mestskej mobility budovaním siete cyklistickej infraštruktúry v Trenčíne: Vetva D - SO 05 Stárka</t>
  </si>
  <si>
    <t>Zvýšenie mestskej mobility budovaním siete cyklistickej infraštruktúry v Trenčíne: Modernizácia mestských cyklotrás z účelom zvýšenia bezpečnosti</t>
  </si>
  <si>
    <t>Zvýšenie mestskej mobility budovaním siete cyklistickej infraštruktúry v Trenčíne: SO Vážska magistrála - Istebnícka</t>
  </si>
  <si>
    <t>Zvýšenie mestskej mobility budovaním siete cyklistickej infraštruktúry v Trenčíne: Cyklotrasa Brnianska ul. 1.Etapa</t>
  </si>
  <si>
    <t>Fond na podporu športu  - Modernizácia Zimného štadióna P.Demitru v Trenčíne</t>
  </si>
  <si>
    <t>Rekonštrukcia budovy škôlky MŠ J.Halašu</t>
  </si>
  <si>
    <t>Prijaté kapitálové dotácie v roku 2023</t>
  </si>
  <si>
    <t xml:space="preserve">  Vývoj dlhovej služby Mesta Trenčín v rokoch  2018-2023 vo väzbe  na zákon č.583/2004 Z.z. o rozpočtových pravidlách územnej samosprávy  a o zmene a doplnení niektorých zákonov v znení neskorších predpisov 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</si>
  <si>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</si>
  <si>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t>stav k 15.9.2023</t>
  </si>
  <si>
    <t>POČTY ŽIAKOV A TRIED V ROČNÍKOCH V ZŠ K 15. 09. 2023</t>
  </si>
  <si>
    <t>2. ročník - NKS</t>
  </si>
  <si>
    <t>3. ročník špeciálnej triedy - NKS</t>
  </si>
  <si>
    <t>EP, Potočná 86 ako súčasť ZŠ, Kubranská 80</t>
  </si>
  <si>
    <t>MŠ - 1 537 detí, z toho 486 predškolákov; 48 detí z Ukrajiny z celkového počtu detí, 10 detí so ŠVVP</t>
  </si>
  <si>
    <r>
      <t xml:space="preserve">ZUŠ - 1 120 žiakov (do 15 r. aj nad 15 r.), 547 individuálne; 573 skupinové vyučovanie; </t>
    </r>
    <r>
      <rPr>
        <b/>
        <u/>
        <sz val="10"/>
        <color rgb="FF000000"/>
        <rFont val="Arial"/>
        <family val="2"/>
        <charset val="238"/>
      </rPr>
      <t>o 63 žiakov viac ako v minulom šk. roku</t>
    </r>
  </si>
  <si>
    <r>
      <t xml:space="preserve">CVČ -  323, k 15. 09. 2023 - pokles o 2 členov), 357 (k </t>
    </r>
    <r>
      <rPr>
        <b/>
        <u/>
        <sz val="10"/>
        <rFont val="Arial"/>
        <family val="2"/>
        <charset val="238"/>
      </rPr>
      <t>31. 10. 2023)</t>
    </r>
  </si>
  <si>
    <r>
      <t xml:space="preserve">ŠKD - 1 933 žiakov - </t>
    </r>
    <r>
      <rPr>
        <b/>
        <u/>
        <sz val="10"/>
        <rFont val="Arial"/>
        <family val="2"/>
        <charset val="238"/>
      </rPr>
      <t>o 161 detí viac ako vlani</t>
    </r>
  </si>
  <si>
    <r>
      <t xml:space="preserve">ZŠ - 4 840 žiakov - </t>
    </r>
    <r>
      <rPr>
        <b/>
        <u/>
        <sz val="10"/>
        <rFont val="Arial"/>
        <family val="2"/>
        <charset val="238"/>
      </rPr>
      <t>o 106 viac ako vlani</t>
    </r>
  </si>
  <si>
    <r>
      <t xml:space="preserve">Žiaci so ŠVVP - 265 - </t>
    </r>
    <r>
      <rPr>
        <b/>
        <sz val="11"/>
        <color rgb="FF000000"/>
        <rFont val="Arial"/>
        <family val="2"/>
        <charset val="238"/>
      </rPr>
      <t>o 38 viac ako vlani</t>
    </r>
  </si>
  <si>
    <t>Stav 15.9.2023</t>
  </si>
  <si>
    <t>Rok 2023</t>
  </si>
  <si>
    <t>Výsledok hospodárenia Mesta Trenčín v metodike ESA 2010 za rok 2023</t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</si>
  <si>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</si>
  <si>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 31.12. predchádzajúceho obdobia</t>
    </r>
  </si>
  <si>
    <r>
      <t xml:space="preserve">Stav vybraných záväzkov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</si>
  <si>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Arial"/>
        <family val="2"/>
        <charset val="238"/>
      </rPr>
      <t>k 31.12. predchádzajúceho obdobia</t>
    </r>
  </si>
  <si>
    <t>Národný inštitút vzdelávania a mládeže</t>
  </si>
  <si>
    <t>Ministerstvo investícií, regionálneho rozvoja a informatizácie SR</t>
  </si>
  <si>
    <t>Program 8.3.3. Zimný štadión</t>
  </si>
  <si>
    <t>Ministerstvo práce, sociálnych vecí a rodiny SR</t>
  </si>
  <si>
    <t>Nenávratný finančný príspevok na podporu administratívnych kapacít sprostredkovateľského orgánu pre IROP Trenčín</t>
  </si>
  <si>
    <t>Dofinancovanie nedoplatkov za rok 2022 a dofinancovanie z dôvodu navýšenia cien energie v roku 2023 po elektronickom  zbere údojov</t>
  </si>
  <si>
    <t>Projekt školského  psychológa a pedagogického asistenta</t>
  </si>
  <si>
    <t>Úhrada cestovných nákladov žiakov dochádzajúcich v rámci školského obvodu</t>
  </si>
  <si>
    <t>Osobné náklady asistentov učiteľov</t>
  </si>
  <si>
    <t>Dofinancovanie školských bazénov</t>
  </si>
  <si>
    <t>Príspevok na rekreačné poukazy</t>
  </si>
  <si>
    <t>Príspevok  pre žiakov  zo znevýhodneného prostredia</t>
  </si>
  <si>
    <t>Na učebnice</t>
  </si>
  <si>
    <t>Vzdelávacie poukazy</t>
  </si>
  <si>
    <t>Odchodné</t>
  </si>
  <si>
    <t>Prenesené kompetencie - mzdy, odvody, tovary a služby</t>
  </si>
  <si>
    <t>Výchova a vzdelávanie pre materské školy</t>
  </si>
  <si>
    <t>Školský úrad</t>
  </si>
  <si>
    <t>Špecifiká - digitálne technológie</t>
  </si>
  <si>
    <t>Školské potreby pre deti v hmotnej núdzi</t>
  </si>
  <si>
    <t>Stravovanie (obedy zadarmo)</t>
  </si>
  <si>
    <t>Stravovanie pre deti v hmotnej núdzi</t>
  </si>
  <si>
    <t>Regionálny úrad štátnej správy v Trenčíne</t>
  </si>
  <si>
    <t>Zabezpečenie starostlivosti o vojnové hroby</t>
  </si>
  <si>
    <t xml:space="preserve">Ubytovanie odídenca </t>
  </si>
  <si>
    <t xml:space="preserve">Pomoc osobám z Ukrajiny pri ich vstupe a integrácii na území SR </t>
  </si>
  <si>
    <t>Prenesený výkon štátnej správy v oblasti bývania</t>
  </si>
  <si>
    <t>Financovanie sociálne služby v zariadení  sociálnych služieb</t>
  </si>
  <si>
    <t>Financovanie sociálnej služby - stabilizačný príspevok</t>
  </si>
  <si>
    <t>Referendum 2023</t>
  </si>
  <si>
    <t>Fast Care (Riešenie migračných výziev v dôsledku vojenskej agresie voči Ukrajine)</t>
  </si>
  <si>
    <t>Zmiernenie negatívnych dôsledkov inflácie</t>
  </si>
  <si>
    <t>Environmentálny fond</t>
  </si>
  <si>
    <t>Príspevk za vytriedené množstvá odpadu za predchádzajúci rok</t>
  </si>
  <si>
    <t>Materiálno technické zabezpečene 60. výročia vzniku ZŠ Bezručova</t>
  </si>
  <si>
    <t>Materiálno technické zabezpečene futbalovej akadémie FUTBAL TSS - TREČÍN</t>
  </si>
  <si>
    <t>Ministerstvo dopravy SR</t>
  </si>
  <si>
    <t>Budovanie parkovacích miest pre bicykle pri základných školách ako súčasť cyklistickej infraštruktúry</t>
  </si>
  <si>
    <t>Centrum kultúrno - kreatívneho potenciálu Hviezda</t>
  </si>
  <si>
    <t>Kultúrno informačné centrum s pódiom</t>
  </si>
  <si>
    <t>Ministerstvo životného prostredia SR</t>
  </si>
  <si>
    <t>Činnosť DH Textilanka</t>
  </si>
  <si>
    <t>Voľby do Národnej rady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</si>
</sst>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#,##0.00&quot; &quot;[$€-41B];[Red]&quot;-&quot;#,##0.00&quot; &quot;[$€-41B]"/>
    <numFmt numFmtId="166" formatCode="d&quot;.&quot;m&quot;.&quot;yyyy"/>
    <numFmt numFmtId="167" formatCode="#,##0.0"/>
    <numFmt numFmtId="168" formatCode="#,##0.00\ &quot;Sk&quot;"/>
    <numFmt numFmtId="169" formatCode="#,##0.00\ [$€-1];\-#,##0.00\ [$€-1]"/>
    <numFmt numFmtId="170" formatCode="#,##0.00\ [$€-1]"/>
    <numFmt numFmtId="171" formatCode="#,##0.00\ &quot;€&quot;;[Red]#,##0.00\ &quot;€&quot;"/>
    <numFmt numFmtId="172" formatCode="#,##0.00\ &quot;€&quot;"/>
  </numFmts>
  <fonts count="6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4" tint="-0.499984740745262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rgb="FF9933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5"/>
      <color rgb="FFC0000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3"/>
      <color rgb="FFC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C6E7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rgb="FF366092"/>
      </patternFill>
    </fill>
    <fill>
      <patternFill patternType="solid">
        <fgColor rgb="FF1F4E78"/>
        <bgColor rgb="FF36609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D9F1"/>
      </patternFill>
    </fill>
    <fill>
      <patternFill patternType="solid">
        <fgColor theme="4" tint="0.79998168889431442"/>
        <bgColor rgb="FF8DB4E2"/>
      </patternFill>
    </fill>
    <fill>
      <patternFill patternType="solid">
        <fgColor rgb="FF366092"/>
        <bgColor rgb="FF538DD5"/>
      </patternFill>
    </fill>
    <fill>
      <patternFill patternType="solid">
        <fgColor theme="4" tint="0.79998168889431442"/>
        <bgColor rgb="FF366092"/>
      </patternFill>
    </fill>
    <fill>
      <patternFill patternType="solid">
        <fgColor rgb="FFC5D9F1"/>
        <bgColor rgb="FF8DB4E2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6" tint="0.79998168889431442"/>
        <bgColor rgb="FF366092"/>
      </patternFill>
    </fill>
    <fill>
      <patternFill patternType="solid">
        <fgColor theme="6" tint="0.79998168889431442"/>
        <bgColor rgb="FFC5D9F1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366092"/>
      </patternFill>
    </fill>
    <fill>
      <patternFill patternType="solid">
        <fgColor theme="3" tint="0.79998168889431442"/>
        <bgColor rgb="FFC5D9F1"/>
      </patternFill>
    </fill>
    <fill>
      <patternFill patternType="solid">
        <fgColor theme="0" tint="-4.9989318521683403E-2"/>
        <bgColor rgb="FFC5D9F1"/>
      </patternFill>
    </fill>
    <fill>
      <patternFill patternType="solid">
        <fgColor theme="0" tint="-0.14999847407452621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6" tint="0.59999389629810485"/>
        <bgColor rgb="FF548235"/>
      </patternFill>
    </fill>
    <fill>
      <patternFill patternType="solid">
        <fgColor theme="6" tint="0.79998168889431442"/>
        <bgColor rgb="FFA9D08E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6" tint="0.59999389629810485"/>
        <bgColor rgb="FFB4C6E7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 style="thin">
        <color indexed="64"/>
      </top>
      <bottom style="hair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/>
      </bottom>
      <diagonal/>
    </border>
    <border>
      <left/>
      <right/>
      <top style="thin">
        <color indexed="6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/>
      <top style="hair">
        <color theme="4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rgb="FF366092"/>
      </top>
      <bottom style="hair">
        <color rgb="FF366092"/>
      </bottom>
      <diagonal/>
    </border>
  </borders>
  <cellStyleXfs count="50">
    <xf numFmtId="0" fontId="0" fillId="0" borderId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712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7" fillId="0" borderId="0" xfId="0" applyNumberFormat="1" applyFont="1"/>
    <xf numFmtId="0" fontId="13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3" fontId="19" fillId="4" borderId="0" xfId="0" applyNumberFormat="1" applyFont="1" applyFill="1"/>
    <xf numFmtId="3" fontId="18" fillId="4" borderId="0" xfId="0" applyNumberFormat="1" applyFont="1" applyFill="1"/>
    <xf numFmtId="0" fontId="13" fillId="4" borderId="0" xfId="0" applyFont="1" applyFill="1"/>
    <xf numFmtId="3" fontId="16" fillId="4" borderId="0" xfId="0" applyNumberFormat="1" applyFont="1" applyFill="1"/>
    <xf numFmtId="0" fontId="14" fillId="0" borderId="0" xfId="0" applyFont="1" applyAlignment="1">
      <alignment vertical="center"/>
    </xf>
    <xf numFmtId="0" fontId="20" fillId="0" borderId="0" xfId="0" applyFont="1"/>
    <xf numFmtId="0" fontId="18" fillId="0" borderId="0" xfId="0" applyFont="1"/>
    <xf numFmtId="3" fontId="18" fillId="0" borderId="0" xfId="0" applyNumberFormat="1" applyFont="1"/>
    <xf numFmtId="0" fontId="23" fillId="0" borderId="0" xfId="0" applyFont="1"/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7" fillId="18" borderId="6" xfId="0" applyNumberFormat="1" applyFont="1" applyFill="1" applyBorder="1"/>
    <xf numFmtId="0" fontId="12" fillId="0" borderId="3" xfId="0" applyFont="1" applyBorder="1"/>
    <xf numFmtId="3" fontId="12" fillId="0" borderId="3" xfId="0" applyNumberFormat="1" applyFont="1" applyBorder="1"/>
    <xf numFmtId="3" fontId="17" fillId="18" borderId="3" xfId="0" applyNumberFormat="1" applyFont="1" applyFill="1" applyBorder="1"/>
    <xf numFmtId="0" fontId="12" fillId="0" borderId="5" xfId="0" applyFont="1" applyBorder="1"/>
    <xf numFmtId="3" fontId="12" fillId="0" borderId="5" xfId="0" applyNumberFormat="1" applyFont="1" applyBorder="1"/>
    <xf numFmtId="3" fontId="17" fillId="18" borderId="5" xfId="0" applyNumberFormat="1" applyFont="1" applyFill="1" applyBorder="1"/>
    <xf numFmtId="0" fontId="26" fillId="2" borderId="1" xfId="0" applyFont="1" applyFill="1" applyBorder="1"/>
    <xf numFmtId="3" fontId="26" fillId="2" borderId="1" xfId="0" applyNumberFormat="1" applyFont="1" applyFill="1" applyBorder="1"/>
    <xf numFmtId="0" fontId="27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26" fillId="2" borderId="2" xfId="0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justify" vertical="center" wrapText="1"/>
    </xf>
    <xf numFmtId="3" fontId="26" fillId="2" borderId="4" xfId="0" applyNumberFormat="1" applyFont="1" applyFill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vertical="center"/>
    </xf>
    <xf numFmtId="0" fontId="26" fillId="20" borderId="2" xfId="0" applyFont="1" applyFill="1" applyBorder="1"/>
    <xf numFmtId="3" fontId="26" fillId="20" borderId="2" xfId="0" applyNumberFormat="1" applyFont="1" applyFill="1" applyBorder="1"/>
    <xf numFmtId="3" fontId="12" fillId="0" borderId="3" xfId="0" applyNumberFormat="1" applyFont="1" applyBorder="1" applyAlignment="1">
      <alignment horizontal="right"/>
    </xf>
    <xf numFmtId="0" fontId="12" fillId="0" borderId="4" xfId="0" applyFont="1" applyBorder="1"/>
    <xf numFmtId="3" fontId="12" fillId="0" borderId="4" xfId="0" applyNumberFormat="1" applyFont="1" applyBorder="1" applyAlignment="1">
      <alignment horizontal="right"/>
    </xf>
    <xf numFmtId="0" fontId="17" fillId="0" borderId="0" xfId="0" applyFont="1"/>
    <xf numFmtId="0" fontId="26" fillId="2" borderId="2" xfId="0" applyFont="1" applyFill="1" applyBorder="1" applyAlignment="1">
      <alignment horizontal="left" vertical="center"/>
    </xf>
    <xf numFmtId="0" fontId="26" fillId="8" borderId="0" xfId="0" applyFont="1" applyFill="1" applyAlignment="1">
      <alignment horizontal="center" vertical="center" wrapText="1"/>
    </xf>
    <xf numFmtId="0" fontId="17" fillId="19" borderId="3" xfId="0" applyFont="1" applyFill="1" applyBorder="1" applyAlignment="1">
      <alignment horizontal="left" vertical="center" wrapText="1"/>
    </xf>
    <xf numFmtId="3" fontId="17" fillId="19" borderId="3" xfId="0" applyNumberFormat="1" applyFont="1" applyFill="1" applyBorder="1"/>
    <xf numFmtId="3" fontId="17" fillId="9" borderId="0" xfId="0" applyNumberFormat="1" applyFont="1" applyFill="1"/>
    <xf numFmtId="0" fontId="12" fillId="0" borderId="3" xfId="0" applyFont="1" applyBorder="1" applyAlignment="1">
      <alignment horizontal="left" vertical="center" wrapText="1"/>
    </xf>
    <xf numFmtId="3" fontId="12" fillId="10" borderId="0" xfId="0" applyNumberFormat="1" applyFont="1" applyFill="1"/>
    <xf numFmtId="0" fontId="26" fillId="0" borderId="5" xfId="0" applyFont="1" applyBorder="1" applyAlignment="1">
      <alignment horizontal="left" vertical="center" wrapText="1"/>
    </xf>
    <xf numFmtId="3" fontId="25" fillId="0" borderId="5" xfId="0" applyNumberFormat="1" applyFont="1" applyBorder="1"/>
    <xf numFmtId="3" fontId="12" fillId="4" borderId="5" xfId="0" applyNumberFormat="1" applyFont="1" applyFill="1" applyBorder="1"/>
    <xf numFmtId="3" fontId="12" fillId="11" borderId="0" xfId="0" applyNumberFormat="1" applyFont="1" applyFill="1"/>
    <xf numFmtId="0" fontId="26" fillId="2" borderId="1" xfId="0" applyFont="1" applyFill="1" applyBorder="1" applyAlignment="1">
      <alignment horizontal="left" vertical="center" wrapText="1"/>
    </xf>
    <xf numFmtId="3" fontId="26" fillId="8" borderId="0" xfId="0" applyNumberFormat="1" applyFont="1" applyFill="1"/>
    <xf numFmtId="3" fontId="26" fillId="2" borderId="1" xfId="0" applyNumberFormat="1" applyFont="1" applyFill="1" applyBorder="1" applyAlignment="1">
      <alignment vertical="center"/>
    </xf>
    <xf numFmtId="3" fontId="26" fillId="8" borderId="0" xfId="0" applyNumberFormat="1" applyFont="1" applyFill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29" fillId="21" borderId="9" xfId="0" applyNumberFormat="1" applyFont="1" applyFill="1" applyBorder="1"/>
    <xf numFmtId="3" fontId="17" fillId="0" borderId="9" xfId="0" applyNumberFormat="1" applyFont="1" applyBorder="1"/>
    <xf numFmtId="3" fontId="17" fillId="4" borderId="5" xfId="0" applyNumberFormat="1" applyFont="1" applyFill="1" applyBorder="1"/>
    <xf numFmtId="3" fontId="17" fillId="4" borderId="10" xfId="0" applyNumberFormat="1" applyFont="1" applyFill="1" applyBorder="1"/>
    <xf numFmtId="0" fontId="12" fillId="4" borderId="0" xfId="0" applyFont="1" applyFill="1"/>
    <xf numFmtId="3" fontId="26" fillId="2" borderId="7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29" fillId="35" borderId="2" xfId="0" applyFont="1" applyFill="1" applyBorder="1" applyAlignment="1">
      <alignment horizontal="center" vertical="center" wrapText="1"/>
    </xf>
    <xf numFmtId="3" fontId="30" fillId="35" borderId="3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49" fontId="29" fillId="25" borderId="3" xfId="0" applyNumberFormat="1" applyFont="1" applyFill="1" applyBorder="1" applyAlignment="1">
      <alignment vertical="center" wrapText="1"/>
    </xf>
    <xf numFmtId="3" fontId="29" fillId="25" borderId="3" xfId="0" applyNumberFormat="1" applyFont="1" applyFill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9" fontId="21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right" vertical="center"/>
    </xf>
    <xf numFmtId="49" fontId="29" fillId="4" borderId="3" xfId="0" applyNumberFormat="1" applyFont="1" applyFill="1" applyBorder="1" applyAlignment="1">
      <alignment vertical="center" wrapText="1"/>
    </xf>
    <xf numFmtId="49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4" fontId="17" fillId="0" borderId="0" xfId="0" applyNumberFormat="1" applyFont="1"/>
    <xf numFmtId="0" fontId="12" fillId="0" borderId="3" xfId="0" applyFont="1" applyBorder="1" applyAlignment="1">
      <alignment horizontal="left" wrapText="1"/>
    </xf>
    <xf numFmtId="0" fontId="2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9" fillId="30" borderId="2" xfId="0" applyFont="1" applyFill="1" applyBorder="1" applyAlignment="1">
      <alignment horizontal="center" vertical="center" wrapText="1"/>
    </xf>
    <xf numFmtId="3" fontId="30" fillId="30" borderId="3" xfId="0" applyNumberFormat="1" applyFont="1" applyFill="1" applyBorder="1" applyAlignment="1">
      <alignment vertical="center"/>
    </xf>
    <xf numFmtId="49" fontId="29" fillId="29" borderId="3" xfId="0" applyNumberFormat="1" applyFont="1" applyFill="1" applyBorder="1" applyAlignment="1">
      <alignment vertical="top" wrapText="1"/>
    </xf>
    <xf numFmtId="0" fontId="29" fillId="29" borderId="3" xfId="0" applyFont="1" applyFill="1" applyBorder="1" applyAlignment="1">
      <alignment vertical="top" wrapText="1"/>
    </xf>
    <xf numFmtId="3" fontId="29" fillId="29" borderId="3" xfId="0" applyNumberFormat="1" applyFont="1" applyFill="1" applyBorder="1"/>
    <xf numFmtId="49" fontId="21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49" fontId="29" fillId="29" borderId="3" xfId="0" applyNumberFormat="1" applyFont="1" applyFill="1" applyBorder="1" applyAlignment="1">
      <alignment vertical="center" wrapText="1"/>
    </xf>
    <xf numFmtId="0" fontId="29" fillId="29" borderId="3" xfId="0" applyFont="1" applyFill="1" applyBorder="1" applyAlignment="1">
      <alignment vertical="center" wrapText="1"/>
    </xf>
    <xf numFmtId="3" fontId="29" fillId="29" borderId="3" xfId="0" applyNumberFormat="1" applyFont="1" applyFill="1" applyBorder="1" applyAlignment="1">
      <alignment vertical="center"/>
    </xf>
    <xf numFmtId="3" fontId="21" fillId="0" borderId="3" xfId="0" applyNumberFormat="1" applyFont="1" applyBorder="1"/>
    <xf numFmtId="49" fontId="21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0" fontId="21" fillId="0" borderId="5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vertical="center"/>
    </xf>
    <xf numFmtId="49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3" fillId="30" borderId="2" xfId="0" applyFont="1" applyFill="1" applyBorder="1" applyAlignment="1">
      <alignment horizontal="center" vertical="center" wrapText="1"/>
    </xf>
    <xf numFmtId="0" fontId="33" fillId="30" borderId="3" xfId="0" applyFont="1" applyFill="1" applyBorder="1" applyAlignment="1">
      <alignment horizontal="center" vertical="center"/>
    </xf>
    <xf numFmtId="0" fontId="33" fillId="30" borderId="3" xfId="0" applyFont="1" applyFill="1" applyBorder="1" applyAlignment="1">
      <alignment vertical="center" wrapText="1"/>
    </xf>
    <xf numFmtId="3" fontId="33" fillId="30" borderId="3" xfId="0" applyNumberFormat="1" applyFont="1" applyFill="1" applyBorder="1" applyAlignment="1">
      <alignment horizontal="right" vertical="center"/>
    </xf>
    <xf numFmtId="0" fontId="29" fillId="29" borderId="3" xfId="0" applyFont="1" applyFill="1" applyBorder="1" applyAlignment="1">
      <alignment horizontal="center" vertical="center"/>
    </xf>
    <xf numFmtId="3" fontId="29" fillId="29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center"/>
    </xf>
    <xf numFmtId="0" fontId="16" fillId="30" borderId="3" xfId="0" applyFont="1" applyFill="1" applyBorder="1" applyAlignment="1">
      <alignment horizontal="center" vertical="center"/>
    </xf>
    <xf numFmtId="0" fontId="17" fillId="29" borderId="3" xfId="0" applyFont="1" applyFill="1" applyBorder="1" applyAlignment="1">
      <alignment horizontal="center" vertical="center"/>
    </xf>
    <xf numFmtId="0" fontId="17" fillId="31" borderId="4" xfId="0" applyFont="1" applyFill="1" applyBorder="1" applyAlignment="1">
      <alignment horizontal="center" vertical="center"/>
    </xf>
    <xf numFmtId="0" fontId="17" fillId="31" borderId="4" xfId="0" applyFont="1" applyFill="1" applyBorder="1" applyAlignment="1">
      <alignment vertical="top" wrapText="1"/>
    </xf>
    <xf numFmtId="3" fontId="17" fillId="31" borderId="4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0" fontId="12" fillId="0" borderId="0" xfId="2" applyFont="1"/>
    <xf numFmtId="0" fontId="34" fillId="0" borderId="0" xfId="48" applyFont="1"/>
    <xf numFmtId="0" fontId="12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35" fillId="0" borderId="0" xfId="2" applyFont="1"/>
    <xf numFmtId="0" fontId="36" fillId="0" borderId="0" xfId="2" applyFont="1"/>
    <xf numFmtId="0" fontId="37" fillId="0" borderId="0" xfId="2" applyFont="1" applyBorder="1"/>
    <xf numFmtId="0" fontId="34" fillId="0" borderId="0" xfId="47" applyFont="1"/>
    <xf numFmtId="0" fontId="29" fillId="21" borderId="3" xfId="2" applyFont="1" applyFill="1" applyBorder="1" applyAlignment="1">
      <alignment horizontal="left"/>
    </xf>
    <xf numFmtId="3" fontId="17" fillId="23" borderId="3" xfId="2" applyNumberFormat="1" applyFont="1" applyFill="1" applyBorder="1" applyAlignment="1">
      <alignment horizontal="center"/>
    </xf>
    <xf numFmtId="3" fontId="17" fillId="6" borderId="3" xfId="2" applyNumberFormat="1" applyFont="1" applyFill="1" applyBorder="1" applyAlignment="1">
      <alignment horizontal="right"/>
    </xf>
    <xf numFmtId="3" fontId="38" fillId="0" borderId="3" xfId="48" applyNumberFormat="1" applyFont="1" applyBorder="1"/>
    <xf numFmtId="3" fontId="17" fillId="19" borderId="3" xfId="2" applyNumberFormat="1" applyFont="1" applyFill="1" applyBorder="1" applyAlignment="1">
      <alignment horizontal="right"/>
    </xf>
    <xf numFmtId="0" fontId="34" fillId="0" borderId="0" xfId="4" applyFont="1"/>
    <xf numFmtId="0" fontId="29" fillId="21" borderId="5" xfId="2" applyFont="1" applyFill="1" applyBorder="1" applyAlignment="1">
      <alignment horizontal="left"/>
    </xf>
    <xf numFmtId="3" fontId="17" fillId="23" borderId="5" xfId="2" applyNumberFormat="1" applyFont="1" applyFill="1" applyBorder="1" applyAlignment="1">
      <alignment horizontal="center"/>
    </xf>
    <xf numFmtId="3" fontId="17" fillId="6" borderId="5" xfId="2" applyNumberFormat="1" applyFont="1" applyFill="1" applyBorder="1" applyAlignment="1">
      <alignment horizontal="right"/>
    </xf>
    <xf numFmtId="3" fontId="38" fillId="0" borderId="5" xfId="48" applyNumberFormat="1" applyFont="1" applyBorder="1"/>
    <xf numFmtId="0" fontId="12" fillId="0" borderId="0" xfId="2" applyFont="1" applyAlignment="1">
      <alignment vertical="center"/>
    </xf>
    <xf numFmtId="0" fontId="26" fillId="2" borderId="1" xfId="2" applyFont="1" applyFill="1" applyBorder="1" applyAlignment="1">
      <alignment horizontal="center" vertical="center"/>
    </xf>
    <xf numFmtId="3" fontId="26" fillId="2" borderId="1" xfId="2" applyNumberFormat="1" applyFont="1" applyFill="1" applyBorder="1" applyAlignment="1">
      <alignment horizontal="center" vertical="center"/>
    </xf>
    <xf numFmtId="0" fontId="12" fillId="0" borderId="0" xfId="2" applyFont="1" applyBorder="1"/>
    <xf numFmtId="0" fontId="29" fillId="21" borderId="1" xfId="2" applyFont="1" applyFill="1" applyBorder="1" applyAlignment="1">
      <alignment horizontal="left"/>
    </xf>
    <xf numFmtId="3" fontId="17" fillId="5" borderId="1" xfId="2" applyNumberFormat="1" applyFont="1" applyFill="1" applyBorder="1" applyAlignment="1">
      <alignment horizontal="center"/>
    </xf>
    <xf numFmtId="3" fontId="17" fillId="6" borderId="1" xfId="2" applyNumberFormat="1" applyFont="1" applyFill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3" fontId="12" fillId="0" borderId="0" xfId="2" applyNumberFormat="1" applyFont="1"/>
    <xf numFmtId="0" fontId="26" fillId="0" borderId="0" xfId="2" applyFont="1" applyBorder="1" applyAlignment="1">
      <alignment vertical="center"/>
    </xf>
    <xf numFmtId="0" fontId="38" fillId="0" borderId="0" xfId="49" applyFont="1"/>
    <xf numFmtId="0" fontId="34" fillId="0" borderId="0" xfId="49" applyFont="1"/>
    <xf numFmtId="0" fontId="26" fillId="2" borderId="3" xfId="2" applyFont="1" applyFill="1" applyBorder="1" applyAlignment="1">
      <alignment horizontal="center" vertical="center"/>
    </xf>
    <xf numFmtId="3" fontId="38" fillId="0" borderId="0" xfId="49" applyNumberFormat="1" applyFont="1"/>
    <xf numFmtId="3" fontId="34" fillId="0" borderId="0" xfId="49" applyNumberFormat="1" applyFont="1"/>
    <xf numFmtId="3" fontId="26" fillId="2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3" fontId="17" fillId="0" borderId="0" xfId="2" applyNumberFormat="1" applyFont="1" applyAlignment="1">
      <alignment horizontal="right" vertical="center"/>
    </xf>
    <xf numFmtId="3" fontId="34" fillId="0" borderId="0" xfId="48" applyNumberFormat="1" applyFont="1"/>
    <xf numFmtId="3" fontId="12" fillId="0" borderId="3" xfId="2" applyNumberFormat="1" applyFont="1" applyBorder="1" applyAlignment="1">
      <alignment horizontal="right"/>
    </xf>
    <xf numFmtId="3" fontId="29" fillId="19" borderId="3" xfId="2" applyNumberFormat="1" applyFont="1" applyFill="1" applyBorder="1" applyAlignment="1">
      <alignment horizontal="right"/>
    </xf>
    <xf numFmtId="3" fontId="12" fillId="0" borderId="0" xfId="2" applyNumberFormat="1" applyFont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17" fillId="22" borderId="3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0" borderId="4" xfId="0" applyNumberFormat="1" applyFont="1" applyBorder="1" applyAlignment="1" applyProtection="1">
      <alignment horizontal="right"/>
      <protection locked="0"/>
    </xf>
    <xf numFmtId="0" fontId="17" fillId="22" borderId="3" xfId="0" applyFont="1" applyFill="1" applyBorder="1" applyAlignment="1">
      <alignment horizontal="left" vertical="center" wrapText="1"/>
    </xf>
    <xf numFmtId="3" fontId="17" fillId="22" borderId="3" xfId="0" applyNumberFormat="1" applyFont="1" applyFill="1" applyBorder="1"/>
    <xf numFmtId="0" fontId="17" fillId="22" borderId="5" xfId="0" applyFont="1" applyFill="1" applyBorder="1" applyAlignment="1">
      <alignment horizontal="left" vertical="center" wrapText="1"/>
    </xf>
    <xf numFmtId="3" fontId="17" fillId="22" borderId="5" xfId="0" applyNumberFormat="1" applyFont="1" applyFill="1" applyBorder="1"/>
    <xf numFmtId="0" fontId="26" fillId="2" borderId="8" xfId="0" applyFont="1" applyFill="1" applyBorder="1" applyAlignment="1">
      <alignment horizontal="center" vertical="center"/>
    </xf>
    <xf numFmtId="3" fontId="17" fillId="22" borderId="9" xfId="0" applyNumberFormat="1" applyFont="1" applyFill="1" applyBorder="1"/>
    <xf numFmtId="3" fontId="12" fillId="0" borderId="9" xfId="0" applyNumberFormat="1" applyFont="1" applyBorder="1"/>
    <xf numFmtId="3" fontId="17" fillId="22" borderId="10" xfId="0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7" fillId="22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4" fillId="0" borderId="0" xfId="0" applyFont="1"/>
    <xf numFmtId="0" fontId="26" fillId="8" borderId="0" xfId="0" applyFont="1" applyFill="1" applyAlignment="1">
      <alignment horizontal="left" vertical="center"/>
    </xf>
    <xf numFmtId="3" fontId="12" fillId="10" borderId="0" xfId="0" applyNumberFormat="1" applyFont="1" applyFill="1" applyAlignment="1">
      <alignment horizontal="righ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center" vertical="center"/>
    </xf>
    <xf numFmtId="0" fontId="17" fillId="18" borderId="3" xfId="0" applyFont="1" applyFill="1" applyBorder="1" applyAlignment="1">
      <alignment horizontal="left" vertical="center" wrapText="1"/>
    </xf>
    <xf numFmtId="3" fontId="17" fillId="18" borderId="9" xfId="0" applyNumberFormat="1" applyFont="1" applyFill="1" applyBorder="1"/>
    <xf numFmtId="0" fontId="26" fillId="2" borderId="4" xfId="0" applyFont="1" applyFill="1" applyBorder="1" applyAlignment="1">
      <alignment horizontal="left" vertical="center" wrapText="1"/>
    </xf>
    <xf numFmtId="3" fontId="26" fillId="2" borderId="11" xfId="0" applyNumberFormat="1" applyFont="1" applyFill="1" applyBorder="1" applyAlignment="1">
      <alignment vertical="center"/>
    </xf>
    <xf numFmtId="3" fontId="17" fillId="18" borderId="3" xfId="0" applyNumberFormat="1" applyFont="1" applyFill="1" applyBorder="1" applyAlignment="1">
      <alignment vertical="center"/>
    </xf>
    <xf numFmtId="3" fontId="17" fillId="18" borderId="9" xfId="0" applyNumberFormat="1" applyFont="1" applyFill="1" applyBorder="1" applyAlignment="1">
      <alignment vertical="center"/>
    </xf>
    <xf numFmtId="3" fontId="12" fillId="10" borderId="0" xfId="0" applyNumberFormat="1" applyFont="1" applyFill="1" applyAlignment="1">
      <alignment horizontal="right"/>
    </xf>
    <xf numFmtId="0" fontId="37" fillId="2" borderId="4" xfId="0" applyFont="1" applyFill="1" applyBorder="1" applyAlignment="1">
      <alignment horizontal="left" vertical="center" wrapText="1"/>
    </xf>
    <xf numFmtId="3" fontId="37" fillId="2" borderId="4" xfId="0" applyNumberFormat="1" applyFont="1" applyFill="1" applyBorder="1" applyAlignment="1">
      <alignment vertical="center"/>
    </xf>
    <xf numFmtId="3" fontId="37" fillId="2" borderId="11" xfId="0" applyNumberFormat="1" applyFont="1" applyFill="1" applyBorder="1" applyAlignment="1">
      <alignment vertical="center"/>
    </xf>
    <xf numFmtId="3" fontId="17" fillId="18" borderId="3" xfId="0" applyNumberFormat="1" applyFont="1" applyFill="1" applyBorder="1" applyAlignment="1">
      <alignment horizontal="right" vertical="center"/>
    </xf>
    <xf numFmtId="3" fontId="26" fillId="2" borderId="4" xfId="0" applyNumberFormat="1" applyFont="1" applyFill="1" applyBorder="1" applyAlignment="1">
      <alignment horizontal="right" vertical="center"/>
    </xf>
    <xf numFmtId="3" fontId="26" fillId="8" borderId="0" xfId="0" applyNumberFormat="1" applyFont="1" applyFill="1" applyAlignment="1">
      <alignment horizontal="right" vertical="center"/>
    </xf>
    <xf numFmtId="3" fontId="29" fillId="8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center" vertical="center" wrapText="1"/>
    </xf>
    <xf numFmtId="3" fontId="29" fillId="8" borderId="0" xfId="0" applyNumberFormat="1" applyFont="1" applyFill="1" applyAlignment="1">
      <alignment horizontal="righ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left" vertical="center" wrapText="1"/>
    </xf>
    <xf numFmtId="3" fontId="19" fillId="18" borderId="3" xfId="0" applyNumberFormat="1" applyFont="1" applyFill="1" applyBorder="1"/>
    <xf numFmtId="3" fontId="19" fillId="18" borderId="9" xfId="0" applyNumberFormat="1" applyFont="1" applyFill="1" applyBorder="1"/>
    <xf numFmtId="0" fontId="18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/>
    <xf numFmtId="3" fontId="18" fillId="0" borderId="9" xfId="0" applyNumberFormat="1" applyFont="1" applyBorder="1"/>
    <xf numFmtId="3" fontId="19" fillId="18" borderId="3" xfId="0" applyNumberFormat="1" applyFont="1" applyFill="1" applyBorder="1" applyAlignment="1">
      <alignment vertical="center"/>
    </xf>
    <xf numFmtId="3" fontId="19" fillId="18" borderId="9" xfId="0" applyNumberFormat="1" applyFont="1" applyFill="1" applyBorder="1" applyAlignment="1">
      <alignment vertical="center"/>
    </xf>
    <xf numFmtId="0" fontId="39" fillId="2" borderId="4" xfId="0" applyFont="1" applyFill="1" applyBorder="1" applyAlignment="1">
      <alignment horizontal="left" vertical="center" wrapText="1"/>
    </xf>
    <xf numFmtId="3" fontId="39" fillId="2" borderId="4" xfId="0" applyNumberFormat="1" applyFont="1" applyFill="1" applyBorder="1" applyAlignment="1">
      <alignment vertical="center"/>
    </xf>
    <xf numFmtId="3" fontId="39" fillId="2" borderId="11" xfId="0" applyNumberFormat="1" applyFont="1" applyFill="1" applyBorder="1" applyAlignment="1">
      <alignment vertical="center"/>
    </xf>
    <xf numFmtId="3" fontId="16" fillId="8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26" fillId="2" borderId="4" xfId="0" applyNumberFormat="1" applyFont="1" applyFill="1" applyBorder="1"/>
    <xf numFmtId="0" fontId="17" fillId="18" borderId="5" xfId="0" applyFont="1" applyFill="1" applyBorder="1" applyAlignment="1">
      <alignment horizontal="left" vertical="center" wrapText="1"/>
    </xf>
    <xf numFmtId="3" fontId="17" fillId="18" borderId="10" xfId="0" applyNumberFormat="1" applyFont="1" applyFill="1" applyBorder="1"/>
    <xf numFmtId="0" fontId="13" fillId="0" borderId="0" xfId="11" applyFont="1"/>
    <xf numFmtId="0" fontId="13" fillId="0" borderId="0" xfId="11" applyFont="1" applyAlignment="1">
      <alignment horizontal="center"/>
    </xf>
    <xf numFmtId="0" fontId="12" fillId="0" borderId="0" xfId="11" applyFont="1" applyAlignment="1">
      <alignment horizontal="right" vertical="center"/>
    </xf>
    <xf numFmtId="0" fontId="12" fillId="0" borderId="0" xfId="11" applyFont="1" applyAlignment="1">
      <alignment horizontal="center"/>
    </xf>
    <xf numFmtId="0" fontId="12" fillId="0" borderId="0" xfId="11" applyFont="1"/>
    <xf numFmtId="0" fontId="26" fillId="2" borderId="13" xfId="11" applyFont="1" applyFill="1" applyBorder="1" applyAlignment="1">
      <alignment horizontal="center" vertical="center"/>
    </xf>
    <xf numFmtId="0" fontId="26" fillId="2" borderId="13" xfId="11" applyFont="1" applyFill="1" applyBorder="1" applyAlignment="1">
      <alignment vertical="center"/>
    </xf>
    <xf numFmtId="0" fontId="26" fillId="2" borderId="13" xfId="12" applyFont="1" applyFill="1" applyBorder="1" applyAlignment="1">
      <alignment horizontal="center" vertical="center" wrapText="1"/>
    </xf>
    <xf numFmtId="0" fontId="12" fillId="0" borderId="3" xfId="11" applyFont="1" applyBorder="1" applyAlignment="1">
      <alignment horizontal="center"/>
    </xf>
    <xf numFmtId="0" fontId="4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2" fillId="32" borderId="4" xfId="11" applyFont="1" applyFill="1" applyBorder="1"/>
    <xf numFmtId="0" fontId="26" fillId="2" borderId="4" xfId="11" applyFont="1" applyFill="1" applyBorder="1" applyAlignment="1">
      <alignment vertical="center"/>
    </xf>
    <xf numFmtId="0" fontId="21" fillId="10" borderId="14" xfId="0" applyFont="1" applyFill="1" applyBorder="1" applyAlignment="1">
      <alignment horizontal="left"/>
    </xf>
    <xf numFmtId="0" fontId="21" fillId="10" borderId="3" xfId="0" applyFont="1" applyFill="1" applyBorder="1" applyAlignment="1">
      <alignment horizontal="left"/>
    </xf>
    <xf numFmtId="0" fontId="13" fillId="0" borderId="0" xfId="11" applyFont="1" applyAlignment="1">
      <alignment vertical="center"/>
    </xf>
    <xf numFmtId="3" fontId="13" fillId="0" borderId="0" xfId="11" applyNumberFormat="1" applyFont="1" applyAlignment="1">
      <alignment vertical="center"/>
    </xf>
    <xf numFmtId="0" fontId="14" fillId="0" borderId="0" xfId="11" applyFont="1" applyAlignment="1">
      <alignment horizontal="center" vertical="center"/>
    </xf>
    <xf numFmtId="3" fontId="14" fillId="0" borderId="0" xfId="11" applyNumberFormat="1" applyFont="1" applyAlignment="1">
      <alignment horizontal="center" vertical="center"/>
    </xf>
    <xf numFmtId="0" fontId="42" fillId="4" borderId="0" xfId="11" applyFont="1" applyFill="1" applyAlignment="1">
      <alignment horizontal="left" vertical="center"/>
    </xf>
    <xf numFmtId="0" fontId="21" fillId="10" borderId="5" xfId="0" applyFont="1" applyFill="1" applyBorder="1" applyAlignment="1">
      <alignment horizontal="left"/>
    </xf>
    <xf numFmtId="3" fontId="21" fillId="10" borderId="5" xfId="0" applyNumberFormat="1" applyFont="1" applyFill="1" applyBorder="1"/>
    <xf numFmtId="3" fontId="26" fillId="2" borderId="4" xfId="11" applyNumberFormat="1" applyFont="1" applyFill="1" applyBorder="1" applyAlignment="1">
      <alignment horizontal="right" vertical="center"/>
    </xf>
    <xf numFmtId="4" fontId="13" fillId="0" borderId="0" xfId="11" applyNumberFormat="1" applyFont="1" applyAlignment="1">
      <alignment vertical="center"/>
    </xf>
    <xf numFmtId="0" fontId="43" fillId="4" borderId="0" xfId="11" applyFont="1" applyFill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26" fillId="2" borderId="13" xfId="12" applyNumberFormat="1" applyFont="1" applyFill="1" applyBorder="1" applyAlignment="1">
      <alignment horizontal="center" vertical="center" wrapText="1"/>
    </xf>
    <xf numFmtId="0" fontId="21" fillId="10" borderId="3" xfId="11" applyFont="1" applyFill="1" applyBorder="1" applyAlignment="1">
      <alignment horizontal="center" vertical="center" wrapText="1"/>
    </xf>
    <xf numFmtId="3" fontId="21" fillId="10" borderId="3" xfId="0" applyNumberFormat="1" applyFont="1" applyFill="1" applyBorder="1"/>
    <xf numFmtId="0" fontId="13" fillId="10" borderId="0" xfId="0" applyFont="1" applyFill="1" applyAlignment="1">
      <alignment vertical="center"/>
    </xf>
    <xf numFmtId="0" fontId="26" fillId="2" borderId="15" xfId="11" applyFont="1" applyFill="1" applyBorder="1" applyAlignment="1">
      <alignment horizontal="left" vertical="center"/>
    </xf>
    <xf numFmtId="0" fontId="37" fillId="2" borderId="15" xfId="11" applyFont="1" applyFill="1" applyBorder="1" applyAlignment="1">
      <alignment vertical="center"/>
    </xf>
    <xf numFmtId="3" fontId="26" fillId="2" borderId="15" xfId="11" applyNumberFormat="1" applyFont="1" applyFill="1" applyBorder="1" applyAlignment="1">
      <alignment horizontal="right" vertical="center"/>
    </xf>
    <xf numFmtId="0" fontId="21" fillId="10" borderId="18" xfId="11" applyFont="1" applyFill="1" applyBorder="1" applyAlignment="1">
      <alignment horizontal="center" vertical="center"/>
    </xf>
    <xf numFmtId="0" fontId="21" fillId="10" borderId="20" xfId="11" applyFont="1" applyFill="1" applyBorder="1" applyAlignment="1">
      <alignment horizontal="center" vertical="center"/>
    </xf>
    <xf numFmtId="0" fontId="21" fillId="10" borderId="21" xfId="11" applyFont="1" applyFill="1" applyBorder="1" applyAlignment="1">
      <alignment horizontal="center" vertical="center"/>
    </xf>
    <xf numFmtId="0" fontId="21" fillId="10" borderId="5" xfId="1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left"/>
    </xf>
    <xf numFmtId="0" fontId="21" fillId="10" borderId="20" xfId="0" applyFont="1" applyFill="1" applyBorder="1" applyAlignment="1">
      <alignment horizontal="left"/>
    </xf>
    <xf numFmtId="0" fontId="21" fillId="10" borderId="21" xfId="0" applyFont="1" applyFill="1" applyBorder="1" applyAlignment="1">
      <alignment horizontal="left"/>
    </xf>
    <xf numFmtId="0" fontId="21" fillId="10" borderId="3" xfId="28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left" wrapText="1"/>
    </xf>
    <xf numFmtId="0" fontId="34" fillId="0" borderId="0" xfId="28" applyFont="1"/>
    <xf numFmtId="4" fontId="34" fillId="0" borderId="0" xfId="28" applyNumberFormat="1" applyFont="1"/>
    <xf numFmtId="164" fontId="26" fillId="7" borderId="13" xfId="28" applyNumberFormat="1" applyFont="1" applyFill="1" applyBorder="1" applyAlignment="1">
      <alignment horizontal="center" vertical="center"/>
    </xf>
    <xf numFmtId="0" fontId="26" fillId="7" borderId="13" xfId="28" applyFont="1" applyFill="1" applyBorder="1" applyAlignment="1">
      <alignment horizontal="center" vertical="center"/>
    </xf>
    <xf numFmtId="4" fontId="26" fillId="16" borderId="13" xfId="1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172" fontId="13" fillId="0" borderId="0" xfId="0" applyNumberFormat="1" applyFont="1"/>
    <xf numFmtId="3" fontId="21" fillId="10" borderId="0" xfId="39" applyNumberFormat="1" applyFont="1" applyFill="1" applyAlignment="1">
      <alignment vertical="center"/>
    </xf>
    <xf numFmtId="0" fontId="26" fillId="7" borderId="4" xfId="28" applyFont="1" applyFill="1" applyBorder="1" applyAlignment="1">
      <alignment horizontal="left" vertical="center" wrapText="1"/>
    </xf>
    <xf numFmtId="3" fontId="26" fillId="7" borderId="4" xfId="28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1" fillId="10" borderId="20" xfId="28" applyFont="1" applyFill="1" applyBorder="1" applyAlignment="1">
      <alignment horizontal="center" vertical="center"/>
    </xf>
    <xf numFmtId="0" fontId="26" fillId="7" borderId="15" xfId="28" applyFont="1" applyFill="1" applyBorder="1" applyAlignment="1">
      <alignment horizontal="left" vertical="center" wrapText="1"/>
    </xf>
    <xf numFmtId="3" fontId="26" fillId="7" borderId="15" xfId="28" applyNumberFormat="1" applyFont="1" applyFill="1" applyBorder="1" applyAlignment="1">
      <alignment vertical="center"/>
    </xf>
    <xf numFmtId="0" fontId="21" fillId="10" borderId="20" xfId="0" applyFont="1" applyFill="1" applyBorder="1" applyAlignment="1">
      <alignment horizontal="left" vertical="center"/>
    </xf>
    <xf numFmtId="0" fontId="21" fillId="10" borderId="20" xfId="0" applyFont="1" applyFill="1" applyBorder="1" applyAlignment="1">
      <alignment horizontal="left" wrapText="1"/>
    </xf>
    <xf numFmtId="3" fontId="21" fillId="10" borderId="20" xfId="0" applyNumberFormat="1" applyFont="1" applyFill="1" applyBorder="1"/>
    <xf numFmtId="3" fontId="44" fillId="10" borderId="19" xfId="0" applyNumberFormat="1" applyFont="1" applyFill="1" applyBorder="1"/>
    <xf numFmtId="3" fontId="44" fillId="10" borderId="20" xfId="0" applyNumberFormat="1" applyFont="1" applyFill="1" applyBorder="1"/>
    <xf numFmtId="3" fontId="44" fillId="10" borderId="21" xfId="0" applyNumberFormat="1" applyFont="1" applyFill="1" applyBorder="1"/>
    <xf numFmtId="0" fontId="21" fillId="10" borderId="3" xfId="0" applyFont="1" applyFill="1" applyBorder="1" applyAlignment="1">
      <alignment horizontal="left" vertical="center"/>
    </xf>
    <xf numFmtId="3" fontId="21" fillId="10" borderId="3" xfId="0" applyNumberFormat="1" applyFont="1" applyFill="1" applyBorder="1" applyAlignment="1">
      <alignment vertical="center"/>
    </xf>
    <xf numFmtId="3" fontId="21" fillId="10" borderId="14" xfId="0" applyNumberFormat="1" applyFont="1" applyFill="1" applyBorder="1"/>
    <xf numFmtId="0" fontId="21" fillId="10" borderId="22" xfId="0" applyFont="1" applyFill="1" applyBorder="1" applyAlignment="1">
      <alignment horizontal="left"/>
    </xf>
    <xf numFmtId="3" fontId="44" fillId="10" borderId="22" xfId="0" applyNumberFormat="1" applyFont="1" applyFill="1" applyBorder="1"/>
    <xf numFmtId="0" fontId="13" fillId="0" borderId="0" xfId="12" applyFont="1"/>
    <xf numFmtId="4" fontId="13" fillId="0" borderId="0" xfId="12" applyNumberFormat="1" applyFont="1" applyAlignment="1">
      <alignment horizontal="right"/>
    </xf>
    <xf numFmtId="4" fontId="12" fillId="0" borderId="0" xfId="12" applyNumberFormat="1" applyFont="1" applyAlignment="1">
      <alignment horizontal="right"/>
    </xf>
    <xf numFmtId="0" fontId="13" fillId="0" borderId="0" xfId="12" applyFont="1" applyAlignment="1">
      <alignment horizontal="center"/>
    </xf>
    <xf numFmtId="4" fontId="18" fillId="0" borderId="0" xfId="12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6" fillId="2" borderId="2" xfId="12" applyFont="1" applyFill="1" applyBorder="1" applyAlignment="1">
      <alignment horizontal="center" vertical="center"/>
    </xf>
    <xf numFmtId="0" fontId="26" fillId="2" borderId="13" xfId="12" applyFont="1" applyFill="1" applyBorder="1" applyAlignment="1">
      <alignment vertical="center"/>
    </xf>
    <xf numFmtId="0" fontId="12" fillId="10" borderId="3" xfId="12" applyFont="1" applyFill="1" applyBorder="1" applyAlignment="1">
      <alignment horizontal="center" vertical="center" wrapText="1"/>
    </xf>
    <xf numFmtId="0" fontId="26" fillId="2" borderId="4" xfId="12" applyFont="1" applyFill="1" applyBorder="1" applyAlignment="1">
      <alignment horizontal="left" vertical="center"/>
    </xf>
    <xf numFmtId="3" fontId="26" fillId="2" borderId="4" xfId="12" applyNumberFormat="1" applyFont="1" applyFill="1" applyBorder="1" applyAlignment="1">
      <alignment horizontal="right" vertical="center"/>
    </xf>
    <xf numFmtId="0" fontId="12" fillId="10" borderId="3" xfId="12" applyFont="1" applyFill="1" applyBorder="1" applyAlignment="1">
      <alignment horizontal="center" vertical="center"/>
    </xf>
    <xf numFmtId="0" fontId="13" fillId="0" borderId="0" xfId="31" applyFont="1"/>
    <xf numFmtId="4" fontId="13" fillId="0" borderId="0" xfId="31" applyNumberFormat="1" applyFont="1" applyAlignment="1">
      <alignment horizontal="right"/>
    </xf>
    <xf numFmtId="0" fontId="34" fillId="0" borderId="0" xfId="12" applyFont="1"/>
    <xf numFmtId="4" fontId="34" fillId="0" borderId="0" xfId="12" applyNumberFormat="1" applyFont="1"/>
    <xf numFmtId="0" fontId="13" fillId="0" borderId="0" xfId="33" applyFont="1"/>
    <xf numFmtId="4" fontId="13" fillId="0" borderId="0" xfId="33" applyNumberFormat="1" applyFont="1" applyAlignment="1">
      <alignment horizontal="right"/>
    </xf>
    <xf numFmtId="0" fontId="34" fillId="0" borderId="0" xfId="31" applyFont="1"/>
    <xf numFmtId="4" fontId="34" fillId="0" borderId="0" xfId="31" applyNumberFormat="1" applyFont="1"/>
    <xf numFmtId="0" fontId="26" fillId="2" borderId="13" xfId="12" applyFont="1" applyFill="1" applyBorder="1" applyAlignment="1">
      <alignment horizontal="center" vertical="center"/>
    </xf>
    <xf numFmtId="49" fontId="21" fillId="10" borderId="3" xfId="0" applyNumberFormat="1" applyFont="1" applyFill="1" applyBorder="1" applyAlignment="1">
      <alignment horizontal="left"/>
    </xf>
    <xf numFmtId="0" fontId="31" fillId="0" borderId="0" xfId="0" applyFont="1" applyAlignment="1">
      <alignment vertical="center" wrapText="1"/>
    </xf>
    <xf numFmtId="0" fontId="29" fillId="27" borderId="2" xfId="0" applyFont="1" applyFill="1" applyBorder="1" applyAlignment="1">
      <alignment horizontal="center" vertical="center" wrapText="1"/>
    </xf>
    <xf numFmtId="0" fontId="33" fillId="27" borderId="3" xfId="0" applyFont="1" applyFill="1" applyBorder="1" applyAlignment="1">
      <alignment horizontal="center" vertical="center"/>
    </xf>
    <xf numFmtId="0" fontId="33" fillId="27" borderId="3" xfId="0" applyFont="1" applyFill="1" applyBorder="1" applyAlignment="1">
      <alignment vertical="center"/>
    </xf>
    <xf numFmtId="3" fontId="33" fillId="27" borderId="3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9" fillId="37" borderId="12" xfId="0" applyFont="1" applyFill="1" applyBorder="1" applyAlignment="1">
      <alignment horizontal="center" vertical="center"/>
    </xf>
    <xf numFmtId="4" fontId="49" fillId="37" borderId="12" xfId="0" applyNumberFormat="1" applyFont="1" applyFill="1" applyBorder="1" applyAlignment="1">
      <alignment horizontal="center" vertical="center" wrapText="1"/>
    </xf>
    <xf numFmtId="0" fontId="49" fillId="37" borderId="25" xfId="0" applyFont="1" applyFill="1" applyBorder="1" applyAlignment="1">
      <alignment horizontal="center" vertical="center"/>
    </xf>
    <xf numFmtId="4" fontId="49" fillId="37" borderId="25" xfId="0" applyNumberFormat="1" applyFont="1" applyFill="1" applyBorder="1" applyAlignment="1">
      <alignment horizontal="center" vertical="center"/>
    </xf>
    <xf numFmtId="4" fontId="49" fillId="37" borderId="25" xfId="0" applyNumberFormat="1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/>
    </xf>
    <xf numFmtId="14" fontId="48" fillId="0" borderId="12" xfId="0" applyNumberFormat="1" applyFont="1" applyBorder="1" applyAlignment="1">
      <alignment horizontal="center"/>
    </xf>
    <xf numFmtId="4" fontId="48" fillId="0" borderId="12" xfId="0" applyNumberFormat="1" applyFont="1" applyBorder="1" applyAlignment="1">
      <alignment horizontal="center"/>
    </xf>
    <xf numFmtId="49" fontId="48" fillId="0" borderId="12" xfId="0" applyNumberFormat="1" applyFont="1" applyBorder="1" applyAlignment="1">
      <alignment horizontal="center" vertical="center"/>
    </xf>
    <xf numFmtId="4" fontId="47" fillId="0" borderId="12" xfId="0" applyNumberFormat="1" applyFont="1" applyBorder="1" applyAlignment="1">
      <alignment horizontal="center" vertical="center"/>
    </xf>
    <xf numFmtId="14" fontId="48" fillId="0" borderId="27" xfId="0" applyNumberFormat="1" applyFont="1" applyBorder="1" applyAlignment="1">
      <alignment horizontal="center"/>
    </xf>
    <xf numFmtId="4" fontId="48" fillId="0" borderId="27" xfId="0" applyNumberFormat="1" applyFont="1" applyBorder="1" applyAlignment="1">
      <alignment horizontal="right" vertical="center"/>
    </xf>
    <xf numFmtId="168" fontId="48" fillId="0" borderId="27" xfId="0" applyNumberFormat="1" applyFont="1" applyBorder="1" applyAlignment="1">
      <alignment horizontal="center"/>
    </xf>
    <xf numFmtId="14" fontId="48" fillId="0" borderId="29" xfId="0" applyNumberFormat="1" applyFont="1" applyBorder="1" applyAlignment="1">
      <alignment horizontal="center"/>
    </xf>
    <xf numFmtId="169" fontId="48" fillId="0" borderId="29" xfId="0" applyNumberFormat="1" applyFont="1" applyBorder="1" applyAlignment="1">
      <alignment horizontal="center"/>
    </xf>
    <xf numFmtId="170" fontId="48" fillId="0" borderId="29" xfId="0" applyNumberFormat="1" applyFont="1" applyBorder="1" applyAlignment="1">
      <alignment horizontal="center"/>
    </xf>
    <xf numFmtId="0" fontId="48" fillId="0" borderId="32" xfId="0" applyFont="1" applyBorder="1" applyAlignment="1">
      <alignment horizontal="center"/>
    </xf>
    <xf numFmtId="49" fontId="48" fillId="0" borderId="32" xfId="0" applyNumberFormat="1" applyFont="1" applyBorder="1" applyAlignment="1">
      <alignment horizontal="center"/>
    </xf>
    <xf numFmtId="4" fontId="48" fillId="0" borderId="32" xfId="0" applyNumberFormat="1" applyFont="1" applyBorder="1" applyAlignment="1">
      <alignment horizontal="center"/>
    </xf>
    <xf numFmtId="49" fontId="48" fillId="0" borderId="32" xfId="0" applyNumberFormat="1" applyFont="1" applyBorder="1" applyAlignment="1">
      <alignment horizontal="center" vertical="center"/>
    </xf>
    <xf numFmtId="4" fontId="47" fillId="0" borderId="32" xfId="0" applyNumberFormat="1" applyFont="1" applyBorder="1" applyAlignment="1">
      <alignment horizontal="center" vertical="center"/>
    </xf>
    <xf numFmtId="171" fontId="48" fillId="0" borderId="27" xfId="0" applyNumberFormat="1" applyFont="1" applyBorder="1" applyAlignment="1">
      <alignment horizontal="center"/>
    </xf>
    <xf numFmtId="14" fontId="48" fillId="0" borderId="25" xfId="0" applyNumberFormat="1" applyFont="1" applyBorder="1" applyAlignment="1">
      <alignment horizontal="center"/>
    </xf>
    <xf numFmtId="169" fontId="48" fillId="0" borderId="25" xfId="0" applyNumberFormat="1" applyFont="1" applyBorder="1" applyAlignment="1">
      <alignment horizontal="center"/>
    </xf>
    <xf numFmtId="170" fontId="48" fillId="0" borderId="25" xfId="0" applyNumberFormat="1" applyFont="1" applyBorder="1" applyAlignment="1">
      <alignment horizontal="center"/>
    </xf>
    <xf numFmtId="49" fontId="48" fillId="0" borderId="12" xfId="0" applyNumberFormat="1" applyFont="1" applyBorder="1" applyAlignment="1">
      <alignment horizontal="center"/>
    </xf>
    <xf numFmtId="14" fontId="48" fillId="0" borderId="32" xfId="0" applyNumberFormat="1" applyFont="1" applyBorder="1" applyAlignment="1">
      <alignment horizontal="center"/>
    </xf>
    <xf numFmtId="4" fontId="47" fillId="0" borderId="32" xfId="0" applyNumberFormat="1" applyFont="1" applyBorder="1" applyAlignment="1">
      <alignment horizontal="center"/>
    </xf>
    <xf numFmtId="14" fontId="48" fillId="0" borderId="32" xfId="0" applyNumberFormat="1" applyFont="1" applyBorder="1" applyAlignment="1">
      <alignment horizontal="center" vertical="center"/>
    </xf>
    <xf numFmtId="170" fontId="48" fillId="0" borderId="27" xfId="0" applyNumberFormat="1" applyFont="1" applyBorder="1" applyAlignment="1">
      <alignment horizontal="center"/>
    </xf>
    <xf numFmtId="4" fontId="48" fillId="0" borderId="27" xfId="0" applyNumberFormat="1" applyFont="1" applyBorder="1" applyAlignment="1">
      <alignment horizontal="center"/>
    </xf>
    <xf numFmtId="14" fontId="48" fillId="0" borderId="27" xfId="0" applyNumberFormat="1" applyFont="1" applyBorder="1" applyAlignment="1">
      <alignment horizontal="center" vertical="center"/>
    </xf>
    <xf numFmtId="4" fontId="48" fillId="0" borderId="25" xfId="0" applyNumberFormat="1" applyFont="1" applyBorder="1" applyAlignment="1">
      <alignment horizontal="center"/>
    </xf>
    <xf numFmtId="14" fontId="48" fillId="0" borderId="25" xfId="0" applyNumberFormat="1" applyFont="1" applyBorder="1" applyAlignment="1">
      <alignment horizontal="center" vertical="center"/>
    </xf>
    <xf numFmtId="4" fontId="47" fillId="0" borderId="12" xfId="0" applyNumberFormat="1" applyFont="1" applyBorder="1" applyAlignment="1">
      <alignment horizontal="center"/>
    </xf>
    <xf numFmtId="14" fontId="48" fillId="0" borderId="12" xfId="0" applyNumberFormat="1" applyFont="1" applyBorder="1" applyAlignment="1">
      <alignment horizontal="center" vertical="center"/>
    </xf>
    <xf numFmtId="4" fontId="48" fillId="0" borderId="29" xfId="0" applyNumberFormat="1" applyFont="1" applyBorder="1" applyAlignment="1">
      <alignment horizontal="center"/>
    </xf>
    <xf numFmtId="14" fontId="48" fillId="0" borderId="29" xfId="0" applyNumberFormat="1" applyFont="1" applyBorder="1" applyAlignment="1">
      <alignment horizontal="center" vertical="center"/>
    </xf>
    <xf numFmtId="4" fontId="48" fillId="0" borderId="31" xfId="0" applyNumberFormat="1" applyFont="1" applyBorder="1" applyAlignment="1">
      <alignment horizontal="right" vertical="center"/>
    </xf>
    <xf numFmtId="170" fontId="48" fillId="0" borderId="12" xfId="0" applyNumberFormat="1" applyFont="1" applyBorder="1" applyAlignment="1">
      <alignment horizontal="center"/>
    </xf>
    <xf numFmtId="14" fontId="48" fillId="0" borderId="31" xfId="0" applyNumberFormat="1" applyFont="1" applyBorder="1" applyAlignment="1">
      <alignment horizontal="center" vertical="center"/>
    </xf>
    <xf numFmtId="4" fontId="48" fillId="0" borderId="33" xfId="0" applyNumberFormat="1" applyFont="1" applyBorder="1" applyAlignment="1">
      <alignment horizontal="right" vertical="center"/>
    </xf>
    <xf numFmtId="14" fontId="48" fillId="0" borderId="33" xfId="0" applyNumberFormat="1" applyFont="1" applyBorder="1" applyAlignment="1">
      <alignment horizontal="center" vertical="center"/>
    </xf>
    <xf numFmtId="170" fontId="48" fillId="0" borderId="27" xfId="0" applyNumberFormat="1" applyFont="1" applyBorder="1" applyAlignment="1">
      <alignment horizontal="center" vertical="center"/>
    </xf>
    <xf numFmtId="170" fontId="48" fillId="0" borderId="25" xfId="0" applyNumberFormat="1" applyFont="1" applyBorder="1" applyAlignment="1">
      <alignment horizontal="center" vertical="center"/>
    </xf>
    <xf numFmtId="4" fontId="48" fillId="0" borderId="31" xfId="0" applyNumberFormat="1" applyFont="1" applyBorder="1" applyAlignment="1">
      <alignment horizontal="center"/>
    </xf>
    <xf numFmtId="170" fontId="48" fillId="0" borderId="33" xfId="0" applyNumberFormat="1" applyFont="1" applyBorder="1" applyAlignment="1">
      <alignment horizontal="center" vertical="center"/>
    </xf>
    <xf numFmtId="4" fontId="48" fillId="0" borderId="33" xfId="0" applyNumberFormat="1" applyFont="1" applyBorder="1" applyAlignment="1">
      <alignment horizontal="center"/>
    </xf>
    <xf numFmtId="170" fontId="48" fillId="0" borderId="29" xfId="0" applyNumberFormat="1" applyFont="1" applyBorder="1" applyAlignment="1">
      <alignment horizontal="center" vertical="center"/>
    </xf>
    <xf numFmtId="4" fontId="48" fillId="0" borderId="29" xfId="0" applyNumberFormat="1" applyFont="1" applyBorder="1" applyAlignment="1">
      <alignment horizontal="center" vertical="center"/>
    </xf>
    <xf numFmtId="4" fontId="48" fillId="0" borderId="25" xfId="0" applyNumberFormat="1" applyFont="1" applyBorder="1" applyAlignment="1">
      <alignment horizontal="center" vertical="center"/>
    </xf>
    <xf numFmtId="14" fontId="48" fillId="0" borderId="35" xfId="0" applyNumberFormat="1" applyFont="1" applyBorder="1" applyAlignment="1">
      <alignment horizontal="center" vertical="center"/>
    </xf>
    <xf numFmtId="49" fontId="48" fillId="0" borderId="35" xfId="0" applyNumberFormat="1" applyFont="1" applyBorder="1" applyAlignment="1">
      <alignment horizontal="center" vertical="center"/>
    </xf>
    <xf numFmtId="4" fontId="47" fillId="0" borderId="35" xfId="0" applyNumberFormat="1" applyFont="1" applyBorder="1" applyAlignment="1">
      <alignment horizontal="center" vertical="center"/>
    </xf>
    <xf numFmtId="170" fontId="48" fillId="0" borderId="35" xfId="0" applyNumberFormat="1" applyFont="1" applyBorder="1" applyAlignment="1">
      <alignment horizontal="center" vertical="center"/>
    </xf>
    <xf numFmtId="4" fontId="48" fillId="0" borderId="35" xfId="0" applyNumberFormat="1" applyFont="1" applyBorder="1" applyAlignment="1">
      <alignment horizontal="center" vertical="center"/>
    </xf>
    <xf numFmtId="0" fontId="13" fillId="0" borderId="0" xfId="38" applyFont="1" applyAlignment="1">
      <alignment vertical="center"/>
    </xf>
    <xf numFmtId="4" fontId="13" fillId="0" borderId="0" xfId="38" applyNumberFormat="1" applyFont="1" applyAlignment="1">
      <alignment vertical="center"/>
    </xf>
    <xf numFmtId="4" fontId="12" fillId="0" borderId="0" xfId="38" applyNumberFormat="1" applyFont="1" applyAlignment="1">
      <alignment horizontal="right" vertical="center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vertical="center"/>
    </xf>
    <xf numFmtId="4" fontId="18" fillId="0" borderId="0" xfId="38" applyNumberFormat="1" applyFont="1" applyAlignment="1">
      <alignment vertical="center"/>
    </xf>
    <xf numFmtId="0" fontId="26" fillId="2" borderId="2" xfId="38" applyFont="1" applyFill="1" applyBorder="1" applyAlignment="1">
      <alignment horizontal="center" vertical="center"/>
    </xf>
    <xf numFmtId="0" fontId="26" fillId="2" borderId="2" xfId="38" applyFont="1" applyFill="1" applyBorder="1" applyAlignment="1">
      <alignment vertical="center"/>
    </xf>
    <xf numFmtId="4" fontId="26" fillId="2" borderId="2" xfId="38" applyNumberFormat="1" applyFont="1" applyFill="1" applyBorder="1" applyAlignment="1">
      <alignment horizontal="center" vertical="center" wrapText="1"/>
    </xf>
    <xf numFmtId="4" fontId="17" fillId="3" borderId="3" xfId="38" applyNumberFormat="1" applyFont="1" applyFill="1" applyBorder="1" applyAlignment="1">
      <alignment vertical="center"/>
    </xf>
    <xf numFmtId="0" fontId="21" fillId="0" borderId="3" xfId="0" applyFont="1" applyBorder="1"/>
    <xf numFmtId="0" fontId="21" fillId="10" borderId="3" xfId="0" applyFont="1" applyFill="1" applyBorder="1"/>
    <xf numFmtId="0" fontId="21" fillId="10" borderId="3" xfId="0" applyFont="1" applyFill="1" applyBorder="1" applyAlignment="1">
      <alignment wrapText="1"/>
    </xf>
    <xf numFmtId="0" fontId="34" fillId="0" borderId="0" xfId="38" applyFont="1" applyAlignment="1">
      <alignment vertical="center"/>
    </xf>
    <xf numFmtId="0" fontId="50" fillId="0" borderId="0" xfId="38" applyFont="1" applyAlignment="1">
      <alignment vertical="center"/>
    </xf>
    <xf numFmtId="4" fontId="29" fillId="17" borderId="3" xfId="38" applyNumberFormat="1" applyFont="1" applyFill="1" applyBorder="1" applyAlignment="1">
      <alignment vertical="center"/>
    </xf>
    <xf numFmtId="4" fontId="38" fillId="10" borderId="3" xfId="38" applyNumberFormat="1" applyFont="1" applyFill="1" applyBorder="1" applyAlignment="1">
      <alignment vertical="center"/>
    </xf>
    <xf numFmtId="4" fontId="38" fillId="10" borderId="3" xfId="38" applyNumberFormat="1" applyFont="1" applyFill="1" applyBorder="1" applyAlignment="1">
      <alignment horizontal="right" vertical="center"/>
    </xf>
    <xf numFmtId="4" fontId="21" fillId="10" borderId="3" xfId="38" applyNumberFormat="1" applyFont="1" applyFill="1" applyBorder="1" applyAlignment="1">
      <alignment vertical="center"/>
    </xf>
    <xf numFmtId="0" fontId="21" fillId="10" borderId="3" xfId="0" applyFont="1" applyFill="1" applyBorder="1" applyAlignment="1">
      <alignment vertical="center"/>
    </xf>
    <xf numFmtId="0" fontId="21" fillId="10" borderId="3" xfId="0" applyFont="1" applyFill="1" applyBorder="1" applyAlignment="1">
      <alignment vertical="center" wrapText="1"/>
    </xf>
    <xf numFmtId="4" fontId="26" fillId="2" borderId="15" xfId="38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52" fillId="0" borderId="0" xfId="0" applyFont="1"/>
    <xf numFmtId="4" fontId="18" fillId="0" borderId="0" xfId="0" applyNumberFormat="1" applyFont="1"/>
    <xf numFmtId="0" fontId="50" fillId="0" borderId="0" xfId="0" applyFont="1" applyAlignment="1">
      <alignment vertical="center"/>
    </xf>
    <xf numFmtId="4" fontId="12" fillId="0" borderId="0" xfId="0" applyNumberFormat="1" applyFont="1" applyAlignment="1">
      <alignment horizontal="right" textRotation="180"/>
    </xf>
    <xf numFmtId="0" fontId="50" fillId="0" borderId="0" xfId="0" applyFont="1"/>
    <xf numFmtId="0" fontId="26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" fontId="26" fillId="2" borderId="13" xfId="0" applyNumberFormat="1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vertical="center"/>
    </xf>
    <xf numFmtId="4" fontId="26" fillId="2" borderId="15" xfId="0" applyNumberFormat="1" applyFont="1" applyFill="1" applyBorder="1" applyAlignment="1">
      <alignment vertical="center"/>
    </xf>
    <xf numFmtId="0" fontId="12" fillId="0" borderId="40" xfId="0" applyFont="1" applyBorder="1" applyAlignment="1">
      <alignment horizontal="center" vertical="center" wrapText="1"/>
    </xf>
    <xf numFmtId="0" fontId="21" fillId="0" borderId="40" xfId="0" applyFont="1" applyBorder="1" applyAlignment="1">
      <alignment vertical="center"/>
    </xf>
    <xf numFmtId="0" fontId="21" fillId="10" borderId="40" xfId="0" applyFont="1" applyFill="1" applyBorder="1" applyAlignment="1">
      <alignment vertical="center"/>
    </xf>
    <xf numFmtId="4" fontId="38" fillId="0" borderId="40" xfId="0" applyNumberFormat="1" applyFont="1" applyBorder="1"/>
    <xf numFmtId="0" fontId="21" fillId="10" borderId="40" xfId="0" applyFont="1" applyFill="1" applyBorder="1"/>
    <xf numFmtId="4" fontId="21" fillId="0" borderId="40" xfId="0" applyNumberFormat="1" applyFont="1" applyBorder="1"/>
    <xf numFmtId="4" fontId="21" fillId="0" borderId="40" xfId="0" applyNumberFormat="1" applyFont="1" applyBorder="1" applyAlignment="1">
      <alignment vertical="center"/>
    </xf>
    <xf numFmtId="0" fontId="21" fillId="0" borderId="40" xfId="0" applyFont="1" applyBorder="1" applyAlignment="1">
      <alignment vertical="center" wrapText="1"/>
    </xf>
    <xf numFmtId="0" fontId="20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4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1" fillId="35" borderId="2" xfId="0" applyFont="1" applyFill="1" applyBorder="1"/>
    <xf numFmtId="0" fontId="29" fillId="35" borderId="2" xfId="0" applyFont="1" applyFill="1" applyBorder="1" applyAlignment="1">
      <alignment horizontal="center"/>
    </xf>
    <xf numFmtId="0" fontId="17" fillId="0" borderId="3" xfId="0" applyFont="1" applyBorder="1"/>
    <xf numFmtId="3" fontId="12" fillId="12" borderId="3" xfId="0" applyNumberFormat="1" applyFont="1" applyFill="1" applyBorder="1" applyAlignment="1">
      <alignment horizontal="right"/>
    </xf>
    <xf numFmtId="3" fontId="12" fillId="36" borderId="3" xfId="0" applyNumberFormat="1" applyFont="1" applyFill="1" applyBorder="1" applyAlignment="1">
      <alignment horizontal="right"/>
    </xf>
    <xf numFmtId="3" fontId="17" fillId="12" borderId="3" xfId="0" applyNumberFormat="1" applyFont="1" applyFill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36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10" fontId="17" fillId="12" borderId="3" xfId="0" applyNumberFormat="1" applyFont="1" applyFill="1" applyBorder="1" applyAlignment="1">
      <alignment horizontal="right" vertical="center"/>
    </xf>
    <xf numFmtId="10" fontId="17" fillId="0" borderId="3" xfId="0" applyNumberFormat="1" applyFont="1" applyBorder="1" applyAlignment="1">
      <alignment horizontal="right" vertical="center"/>
    </xf>
    <xf numFmtId="10" fontId="17" fillId="36" borderId="3" xfId="0" applyNumberFormat="1" applyFont="1" applyFill="1" applyBorder="1" applyAlignment="1">
      <alignment horizontal="right" vertical="center"/>
    </xf>
    <xf numFmtId="3" fontId="17" fillId="12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6" borderId="3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10" fontId="17" fillId="12" borderId="4" xfId="0" applyNumberFormat="1" applyFont="1" applyFill="1" applyBorder="1" applyAlignment="1">
      <alignment horizontal="right" vertical="center"/>
    </xf>
    <xf numFmtId="10" fontId="17" fillId="0" borderId="4" xfId="0" applyNumberFormat="1" applyFont="1" applyBorder="1" applyAlignment="1">
      <alignment horizontal="right" vertical="center"/>
    </xf>
    <xf numFmtId="10" fontId="17" fillId="36" borderId="4" xfId="0" applyNumberFormat="1" applyFont="1" applyFill="1" applyBorder="1" applyAlignment="1">
      <alignment horizontal="right" vertical="center"/>
    </xf>
    <xf numFmtId="0" fontId="53" fillId="0" borderId="0" xfId="0" applyFont="1"/>
    <xf numFmtId="10" fontId="13" fillId="0" borderId="0" xfId="0" applyNumberFormat="1" applyFont="1" applyAlignment="1">
      <alignment horizontal="right"/>
    </xf>
    <xf numFmtId="0" fontId="54" fillId="0" borderId="0" xfId="0" applyFont="1" applyAlignment="1">
      <alignment wrapText="1"/>
    </xf>
    <xf numFmtId="0" fontId="54" fillId="0" borderId="0" xfId="0" applyFont="1"/>
    <xf numFmtId="0" fontId="54" fillId="0" borderId="0" xfId="0" applyFont="1" applyAlignment="1">
      <alignment vertical="center" wrapText="1"/>
    </xf>
    <xf numFmtId="0" fontId="56" fillId="0" borderId="0" xfId="0" applyFont="1"/>
    <xf numFmtId="0" fontId="13" fillId="0" borderId="0" xfId="37" applyFont="1"/>
    <xf numFmtId="0" fontId="13" fillId="0" borderId="0" xfId="37" applyFont="1" applyAlignment="1">
      <alignment horizontal="right"/>
    </xf>
    <xf numFmtId="0" fontId="34" fillId="0" borderId="0" xfId="37" applyFont="1"/>
    <xf numFmtId="0" fontId="58" fillId="24" borderId="2" xfId="37" applyFont="1" applyFill="1" applyBorder="1" applyAlignment="1">
      <alignment vertical="center"/>
    </xf>
    <xf numFmtId="0" fontId="47" fillId="24" borderId="2" xfId="37" applyFont="1" applyFill="1" applyBorder="1" applyAlignment="1">
      <alignment horizontal="center" vertical="center" wrapText="1"/>
    </xf>
    <xf numFmtId="0" fontId="47" fillId="24" borderId="2" xfId="37" applyFont="1" applyFill="1" applyBorder="1" applyAlignment="1">
      <alignment horizontal="center" vertical="center"/>
    </xf>
    <xf numFmtId="0" fontId="13" fillId="0" borderId="0" xfId="37" applyFont="1" applyAlignment="1">
      <alignment vertical="center"/>
    </xf>
    <xf numFmtId="0" fontId="58" fillId="24" borderId="3" xfId="37" applyFont="1" applyFill="1" applyBorder="1" applyAlignment="1">
      <alignment vertical="center"/>
    </xf>
    <xf numFmtId="3" fontId="18" fillId="0" borderId="3" xfId="37" applyNumberFormat="1" applyFont="1" applyBorder="1" applyAlignment="1">
      <alignment horizontal="center" vertical="center"/>
    </xf>
    <xf numFmtId="3" fontId="19" fillId="25" borderId="3" xfId="37" applyNumberFormat="1" applyFont="1" applyFill="1" applyBorder="1" applyAlignment="1">
      <alignment horizontal="center" vertical="center"/>
    </xf>
    <xf numFmtId="3" fontId="18" fillId="26" borderId="3" xfId="37" applyNumberFormat="1" applyFont="1" applyFill="1" applyBorder="1" applyAlignment="1">
      <alignment horizontal="center" vertical="center"/>
    </xf>
    <xf numFmtId="0" fontId="18" fillId="0" borderId="3" xfId="37" applyFont="1" applyBorder="1" applyAlignment="1">
      <alignment horizontal="center" vertical="center"/>
    </xf>
    <xf numFmtId="0" fontId="58" fillId="24" borderId="3" xfId="37" applyFont="1" applyFill="1" applyBorder="1" applyAlignment="1">
      <alignment vertical="center" wrapText="1"/>
    </xf>
    <xf numFmtId="3" fontId="18" fillId="26" borderId="6" xfId="37" applyNumberFormat="1" applyFont="1" applyFill="1" applyBorder="1" applyAlignment="1">
      <alignment horizontal="center" vertical="center"/>
    </xf>
    <xf numFmtId="3" fontId="18" fillId="0" borderId="3" xfId="37" applyNumberFormat="1" applyFont="1" applyBorder="1" applyAlignment="1" applyProtection="1">
      <alignment horizontal="center" vertical="center"/>
      <protection hidden="1"/>
    </xf>
    <xf numFmtId="3" fontId="59" fillId="25" borderId="3" xfId="37" applyNumberFormat="1" applyFont="1" applyFill="1" applyBorder="1" applyAlignment="1">
      <alignment horizontal="center" vertical="center"/>
    </xf>
    <xf numFmtId="0" fontId="19" fillId="25" borderId="3" xfId="37" applyFont="1" applyFill="1" applyBorder="1" applyAlignment="1">
      <alignment horizontal="center" vertical="center"/>
    </xf>
    <xf numFmtId="0" fontId="58" fillId="24" borderId="4" xfId="37" applyFont="1" applyFill="1" applyBorder="1" applyAlignment="1">
      <alignment vertical="center"/>
    </xf>
    <xf numFmtId="3" fontId="18" fillId="0" borderId="4" xfId="37" applyNumberFormat="1" applyFont="1" applyBorder="1" applyAlignment="1">
      <alignment horizontal="center" vertical="center"/>
    </xf>
    <xf numFmtId="3" fontId="19" fillId="25" borderId="4" xfId="37" applyNumberFormat="1" applyFont="1" applyFill="1" applyBorder="1" applyAlignment="1">
      <alignment horizontal="center" vertical="center"/>
    </xf>
    <xf numFmtId="3" fontId="19" fillId="0" borderId="4" xfId="37" applyNumberFormat="1" applyFont="1" applyBorder="1" applyAlignment="1">
      <alignment horizontal="center" vertical="center"/>
    </xf>
    <xf numFmtId="3" fontId="19" fillId="4" borderId="4" xfId="37" applyNumberFormat="1" applyFont="1" applyFill="1" applyBorder="1" applyAlignment="1">
      <alignment horizontal="center" vertical="center"/>
    </xf>
    <xf numFmtId="0" fontId="18" fillId="0" borderId="4" xfId="37" applyFont="1" applyBorder="1" applyAlignment="1">
      <alignment horizontal="center" vertical="center"/>
    </xf>
    <xf numFmtId="0" fontId="12" fillId="0" borderId="0" xfId="37" applyFont="1"/>
    <xf numFmtId="0" fontId="21" fillId="0" borderId="0" xfId="37" applyFont="1"/>
    <xf numFmtId="0" fontId="13" fillId="0" borderId="0" xfId="36" applyFont="1"/>
    <xf numFmtId="0" fontId="18" fillId="0" borderId="0" xfId="36" applyFont="1"/>
    <xf numFmtId="0" fontId="29" fillId="27" borderId="3" xfId="2" applyFont="1" applyFill="1" applyBorder="1" applyAlignment="1">
      <alignment horizontal="left"/>
    </xf>
    <xf numFmtId="2" fontId="21" fillId="4" borderId="3" xfId="2" applyNumberFormat="1" applyFont="1" applyFill="1" applyBorder="1" applyAlignment="1">
      <alignment horizontal="center" vertical="center"/>
    </xf>
    <xf numFmtId="4" fontId="21" fillId="4" borderId="3" xfId="2" applyNumberFormat="1" applyFont="1" applyFill="1" applyBorder="1" applyAlignment="1">
      <alignment horizontal="center" vertical="center"/>
    </xf>
    <xf numFmtId="4" fontId="21" fillId="4" borderId="3" xfId="2" applyNumberFormat="1" applyFont="1" applyFill="1" applyBorder="1" applyAlignment="1">
      <alignment horizontal="center"/>
    </xf>
    <xf numFmtId="4" fontId="21" fillId="28" borderId="3" xfId="2" applyNumberFormat="1" applyFont="1" applyFill="1" applyBorder="1" applyAlignment="1">
      <alignment horizontal="center"/>
    </xf>
    <xf numFmtId="0" fontId="21" fillId="4" borderId="3" xfId="2" applyNumberFormat="1" applyFont="1" applyFill="1" applyBorder="1" applyAlignment="1">
      <alignment horizontal="center"/>
    </xf>
    <xf numFmtId="167" fontId="13" fillId="0" borderId="0" xfId="36" applyNumberFormat="1" applyFont="1"/>
    <xf numFmtId="0" fontId="29" fillId="27" borderId="4" xfId="2" applyFont="1" applyFill="1" applyBorder="1" applyAlignment="1">
      <alignment horizontal="center" vertical="center"/>
    </xf>
    <xf numFmtId="4" fontId="29" fillId="27" borderId="4" xfId="2" applyNumberFormat="1" applyFont="1" applyFill="1" applyBorder="1" applyAlignment="1">
      <alignment horizontal="center" vertical="center"/>
    </xf>
    <xf numFmtId="2" fontId="29" fillId="27" borderId="4" xfId="2" applyNumberFormat="1" applyFont="1" applyFill="1" applyBorder="1" applyAlignment="1">
      <alignment horizontal="center" vertical="center"/>
    </xf>
    <xf numFmtId="4" fontId="13" fillId="0" borderId="0" xfId="36" applyNumberFormat="1" applyFont="1"/>
    <xf numFmtId="0" fontId="12" fillId="0" borderId="0" xfId="0" applyFont="1" applyAlignment="1">
      <alignment horizontal="justify" vertical="center"/>
    </xf>
    <xf numFmtId="0" fontId="29" fillId="33" borderId="2" xfId="0" applyFont="1" applyFill="1" applyBorder="1" applyAlignment="1">
      <alignment horizontal="center" vertical="center" wrapText="1"/>
    </xf>
    <xf numFmtId="0" fontId="29" fillId="33" borderId="2" xfId="0" applyFont="1" applyFill="1" applyBorder="1" applyAlignment="1">
      <alignment horizontal="center" vertical="center"/>
    </xf>
    <xf numFmtId="0" fontId="12" fillId="34" borderId="3" xfId="0" applyFont="1" applyFill="1" applyBorder="1" applyAlignment="1">
      <alignment horizontal="center" vertical="center"/>
    </xf>
    <xf numFmtId="0" fontId="17" fillId="34" borderId="3" xfId="0" applyFont="1" applyFill="1" applyBorder="1" applyAlignment="1">
      <alignment vertical="center"/>
    </xf>
    <xf numFmtId="3" fontId="17" fillId="34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21" fillId="33" borderId="3" xfId="0" applyFont="1" applyFill="1" applyBorder="1" applyAlignment="1">
      <alignment horizontal="center" vertical="center"/>
    </xf>
    <xf numFmtId="0" fontId="29" fillId="33" borderId="3" xfId="0" applyFont="1" applyFill="1" applyBorder="1" applyAlignment="1">
      <alignment vertical="center"/>
    </xf>
    <xf numFmtId="3" fontId="29" fillId="33" borderId="3" xfId="0" applyNumberFormat="1" applyFont="1" applyFill="1" applyBorder="1" applyAlignment="1">
      <alignment horizontal="right" vertical="center"/>
    </xf>
    <xf numFmtId="0" fontId="29" fillId="33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61" fillId="34" borderId="3" xfId="0" applyFont="1" applyFill="1" applyBorder="1" applyAlignment="1">
      <alignment vertical="center"/>
    </xf>
    <xf numFmtId="3" fontId="61" fillId="34" borderId="3" xfId="0" applyNumberFormat="1" applyFont="1" applyFill="1" applyBorder="1" applyAlignment="1">
      <alignment horizontal="right" vertical="center"/>
    </xf>
    <xf numFmtId="0" fontId="33" fillId="33" borderId="4" xfId="0" applyFont="1" applyFill="1" applyBorder="1" applyAlignment="1">
      <alignment horizontal="center" vertical="center"/>
    </xf>
    <xf numFmtId="3" fontId="33" fillId="33" borderId="4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left" indent="2"/>
    </xf>
    <xf numFmtId="0" fontId="12" fillId="0" borderId="3" xfId="0" applyFont="1" applyBorder="1" applyAlignment="1">
      <alignment horizontal="left" indent="2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4" fontId="21" fillId="0" borderId="3" xfId="38" applyNumberFormat="1" applyFont="1" applyBorder="1" applyAlignment="1">
      <alignment vertical="center"/>
    </xf>
    <xf numFmtId="0" fontId="21" fillId="0" borderId="40" xfId="0" applyFont="1" applyBorder="1"/>
    <xf numFmtId="0" fontId="21" fillId="0" borderId="3" xfId="0" applyFont="1" applyBorder="1" applyAlignment="1">
      <alignment wrapText="1"/>
    </xf>
    <xf numFmtId="0" fontId="12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4" fontId="21" fillId="10" borderId="3" xfId="0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12" fillId="0" borderId="3" xfId="0" applyFont="1" applyBorder="1"/>
    <xf numFmtId="0" fontId="28" fillId="0" borderId="0" xfId="0" applyFont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 applyProtection="1">
      <alignment horizontal="left"/>
      <protection locked="0"/>
    </xf>
    <xf numFmtId="0" fontId="17" fillId="22" borderId="3" xfId="0" applyFont="1" applyFill="1" applyBorder="1" applyAlignment="1">
      <alignment horizontal="left"/>
    </xf>
    <xf numFmtId="3" fontId="12" fillId="0" borderId="3" xfId="0" applyNumberFormat="1" applyFont="1" applyBorder="1" applyAlignment="1">
      <alignment horizontal="left" wrapText="1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26" fillId="2" borderId="2" xfId="0" applyFont="1" applyFill="1" applyBorder="1" applyAlignment="1">
      <alignment horizontal="left" vertical="center"/>
    </xf>
    <xf numFmtId="0" fontId="26" fillId="2" borderId="2" xfId="2" applyFont="1" applyFill="1" applyBorder="1" applyAlignment="1">
      <alignment horizontal="center" vertical="center"/>
    </xf>
    <xf numFmtId="0" fontId="35" fillId="0" borderId="0" xfId="2" applyFont="1" applyAlignment="1">
      <alignment horizontal="center"/>
    </xf>
    <xf numFmtId="0" fontId="26" fillId="2" borderId="2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6" fillId="13" borderId="2" xfId="2" applyFont="1" applyFill="1" applyBorder="1" applyAlignment="1">
      <alignment horizontal="left" vertical="center" wrapText="1"/>
    </xf>
    <xf numFmtId="0" fontId="26" fillId="13" borderId="3" xfId="2" applyFont="1" applyFill="1" applyBorder="1" applyAlignment="1">
      <alignment horizontal="left" vertical="center" wrapText="1"/>
    </xf>
    <xf numFmtId="0" fontId="26" fillId="13" borderId="2" xfId="2" applyFont="1" applyFill="1" applyBorder="1" applyAlignment="1">
      <alignment horizontal="center" vertical="center" wrapText="1"/>
    </xf>
    <xf numFmtId="0" fontId="26" fillId="13" borderId="3" xfId="2" applyFont="1" applyFill="1" applyBorder="1" applyAlignment="1">
      <alignment horizontal="center" vertical="center" wrapText="1"/>
    </xf>
    <xf numFmtId="0" fontId="37" fillId="14" borderId="2" xfId="2" applyFont="1" applyFill="1" applyBorder="1" applyAlignment="1">
      <alignment horizontal="center"/>
    </xf>
    <xf numFmtId="0" fontId="26" fillId="13" borderId="3" xfId="2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6" fillId="2" borderId="4" xfId="0" applyFont="1" applyFill="1" applyBorder="1"/>
    <xf numFmtId="0" fontId="17" fillId="3" borderId="3" xfId="38" applyFont="1" applyFill="1" applyBorder="1" applyAlignment="1">
      <alignment horizontal="center" vertical="center"/>
    </xf>
    <xf numFmtId="0" fontId="26" fillId="2" borderId="15" xfId="38" applyFont="1" applyFill="1" applyBorder="1" applyAlignment="1">
      <alignment vertical="center"/>
    </xf>
    <xf numFmtId="0" fontId="29" fillId="17" borderId="3" xfId="0" applyFont="1" applyFill="1" applyBorder="1" applyAlignment="1">
      <alignment horizontal="center" vertical="center"/>
    </xf>
    <xf numFmtId="0" fontId="14" fillId="0" borderId="0" xfId="38" applyFont="1" applyAlignment="1">
      <alignment horizontal="center" vertical="center"/>
    </xf>
    <xf numFmtId="0" fontId="13" fillId="0" borderId="0" xfId="0" applyFont="1"/>
    <xf numFmtId="0" fontId="51" fillId="0" borderId="0" xfId="0" applyFont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14" fillId="0" borderId="0" xfId="11" applyFont="1" applyAlignment="1">
      <alignment horizontal="center" vertical="center"/>
    </xf>
    <xf numFmtId="0" fontId="42" fillId="4" borderId="0" xfId="11" applyFont="1" applyFill="1" applyAlignment="1">
      <alignment horizontal="left" vertical="center"/>
    </xf>
    <xf numFmtId="3" fontId="34" fillId="0" borderId="0" xfId="28" applyNumberFormat="1" applyFont="1" applyAlignment="1">
      <alignment horizontal="right"/>
    </xf>
    <xf numFmtId="0" fontId="34" fillId="0" borderId="0" xfId="28" applyFont="1"/>
    <xf numFmtId="0" fontId="14" fillId="0" borderId="0" xfId="28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12" applyFont="1" applyAlignment="1">
      <alignment horizontal="center" vertical="center"/>
    </xf>
    <xf numFmtId="0" fontId="26" fillId="2" borderId="4" xfId="12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4" fontId="48" fillId="0" borderId="31" xfId="0" applyNumberFormat="1" applyFont="1" applyBorder="1" applyAlignment="1">
      <alignment horizontal="right" vertical="center"/>
    </xf>
    <xf numFmtId="4" fontId="48" fillId="0" borderId="33" xfId="0" applyNumberFormat="1" applyFont="1" applyBorder="1" applyAlignment="1">
      <alignment horizontal="right" vertical="center"/>
    </xf>
    <xf numFmtId="4" fontId="48" fillId="0" borderId="34" xfId="0" applyNumberFormat="1" applyFont="1" applyBorder="1" applyAlignment="1">
      <alignment horizontal="right" vertical="center"/>
    </xf>
    <xf numFmtId="14" fontId="48" fillId="0" borderId="31" xfId="0" applyNumberFormat="1" applyFont="1" applyBorder="1" applyAlignment="1">
      <alignment horizontal="center" vertical="center"/>
    </xf>
    <xf numFmtId="14" fontId="48" fillId="0" borderId="33" xfId="0" applyNumberFormat="1" applyFont="1" applyBorder="1" applyAlignment="1">
      <alignment horizontal="center" vertical="center"/>
    </xf>
    <xf numFmtId="14" fontId="48" fillId="0" borderId="34" xfId="0" applyNumberFormat="1" applyFont="1" applyBorder="1" applyAlignment="1">
      <alignment horizontal="center" vertical="center"/>
    </xf>
    <xf numFmtId="4" fontId="47" fillId="10" borderId="31" xfId="0" applyNumberFormat="1" applyFont="1" applyFill="1" applyBorder="1" applyAlignment="1">
      <alignment horizontal="center" vertical="center"/>
    </xf>
    <xf numFmtId="4" fontId="47" fillId="10" borderId="33" xfId="0" applyNumberFormat="1" applyFont="1" applyFill="1" applyBorder="1" applyAlignment="1">
      <alignment horizontal="center" vertical="center"/>
    </xf>
    <xf numFmtId="4" fontId="47" fillId="10" borderId="34" xfId="0" applyNumberFormat="1" applyFont="1" applyFill="1" applyBorder="1" applyAlignment="1">
      <alignment horizontal="center" vertical="center"/>
    </xf>
    <xf numFmtId="4" fontId="47" fillId="10" borderId="32" xfId="0" applyNumberFormat="1" applyFont="1" applyFill="1" applyBorder="1" applyAlignment="1">
      <alignment horizontal="center" vertical="center"/>
    </xf>
    <xf numFmtId="4" fontId="47" fillId="10" borderId="27" xfId="0" applyNumberFormat="1" applyFont="1" applyFill="1" applyBorder="1" applyAlignment="1">
      <alignment horizontal="center" vertical="center"/>
    </xf>
    <xf numFmtId="4" fontId="47" fillId="10" borderId="25" xfId="0" applyNumberFormat="1" applyFont="1" applyFill="1" applyBorder="1" applyAlignment="1">
      <alignment horizontal="center" vertical="center"/>
    </xf>
    <xf numFmtId="4" fontId="48" fillId="0" borderId="35" xfId="0" applyNumberFormat="1" applyFont="1" applyBorder="1" applyAlignment="1">
      <alignment horizontal="right" vertical="center"/>
    </xf>
    <xf numFmtId="4" fontId="48" fillId="0" borderId="32" xfId="0" applyNumberFormat="1" applyFont="1" applyBorder="1" applyAlignment="1">
      <alignment horizontal="right" vertical="center"/>
    </xf>
    <xf numFmtId="4" fontId="48" fillId="0" borderId="27" xfId="0" applyNumberFormat="1" applyFont="1" applyBorder="1" applyAlignment="1">
      <alignment horizontal="right" vertical="center"/>
    </xf>
    <xf numFmtId="4" fontId="48" fillId="0" borderId="29" xfId="0" applyNumberFormat="1" applyFont="1" applyBorder="1" applyAlignment="1">
      <alignment horizontal="right" vertical="center"/>
    </xf>
    <xf numFmtId="14" fontId="48" fillId="0" borderId="32" xfId="0" applyNumberFormat="1" applyFont="1" applyBorder="1" applyAlignment="1">
      <alignment horizontal="center" vertical="center"/>
    </xf>
    <xf numFmtId="14" fontId="48" fillId="0" borderId="27" xfId="0" applyNumberFormat="1" applyFont="1" applyBorder="1" applyAlignment="1">
      <alignment horizontal="center" vertical="center"/>
    </xf>
    <xf numFmtId="14" fontId="48" fillId="0" borderId="29" xfId="0" applyNumberFormat="1" applyFont="1" applyBorder="1" applyAlignment="1">
      <alignment horizontal="center" vertical="center"/>
    </xf>
    <xf numFmtId="4" fontId="47" fillId="10" borderId="29" xfId="0" applyNumberFormat="1" applyFont="1" applyFill="1" applyBorder="1" applyAlignment="1">
      <alignment horizontal="center" vertical="center"/>
    </xf>
    <xf numFmtId="14" fontId="48" fillId="0" borderId="25" xfId="0" applyNumberFormat="1" applyFont="1" applyBorder="1" applyAlignment="1">
      <alignment horizontal="center" vertical="center"/>
    </xf>
    <xf numFmtId="0" fontId="47" fillId="0" borderId="39" xfId="0" applyFont="1" applyBorder="1" applyAlignment="1">
      <alignment horizontal="left" vertical="center" wrapText="1"/>
    </xf>
    <xf numFmtId="4" fontId="48" fillId="0" borderId="35" xfId="0" applyNumberFormat="1" applyFont="1" applyBorder="1" applyAlignment="1">
      <alignment horizontal="right" vertical="center" wrapText="1"/>
    </xf>
    <xf numFmtId="14" fontId="48" fillId="0" borderId="35" xfId="0" applyNumberFormat="1" applyFont="1" applyBorder="1" applyAlignment="1">
      <alignment horizontal="center" vertical="center"/>
    </xf>
    <xf numFmtId="4" fontId="47" fillId="10" borderId="35" xfId="0" applyNumberFormat="1" applyFont="1" applyFill="1" applyBorder="1" applyAlignment="1">
      <alignment horizontal="center" vertical="center"/>
    </xf>
    <xf numFmtId="4" fontId="48" fillId="0" borderId="12" xfId="0" applyNumberFormat="1" applyFont="1" applyBorder="1" applyAlignment="1">
      <alignment horizontal="right" vertical="center"/>
    </xf>
    <xf numFmtId="14" fontId="48" fillId="0" borderId="12" xfId="0" applyNumberFormat="1" applyFont="1" applyBorder="1" applyAlignment="1">
      <alignment horizontal="center" vertical="center"/>
    </xf>
    <xf numFmtId="4" fontId="47" fillId="10" borderId="12" xfId="0" applyNumberFormat="1" applyFont="1" applyFill="1" applyBorder="1" applyAlignment="1">
      <alignment horizontal="center" vertical="center"/>
    </xf>
    <xf numFmtId="4" fontId="48" fillId="0" borderId="25" xfId="0" applyNumberFormat="1" applyFont="1" applyBorder="1" applyAlignment="1">
      <alignment horizontal="right" vertical="center"/>
    </xf>
    <xf numFmtId="0" fontId="47" fillId="0" borderId="23" xfId="0" applyFont="1" applyBorder="1" applyAlignment="1">
      <alignment horizontal="left" vertical="center"/>
    </xf>
    <xf numFmtId="0" fontId="47" fillId="0" borderId="24" xfId="0" applyFont="1" applyBorder="1" applyAlignment="1">
      <alignment horizontal="left" vertical="center"/>
    </xf>
    <xf numFmtId="4" fontId="48" fillId="0" borderId="12" xfId="0" applyNumberFormat="1" applyFont="1" applyBorder="1" applyAlignment="1">
      <alignment vertical="center"/>
    </xf>
    <xf numFmtId="4" fontId="48" fillId="0" borderId="25" xfId="0" applyNumberFormat="1" applyFont="1" applyBorder="1" applyAlignment="1">
      <alignment vertical="center"/>
    </xf>
    <xf numFmtId="4" fontId="48" fillId="0" borderId="12" xfId="0" applyNumberFormat="1" applyFont="1" applyBorder="1" applyAlignment="1">
      <alignment horizontal="right" vertical="center" wrapText="1"/>
    </xf>
    <xf numFmtId="4" fontId="48" fillId="0" borderId="25" xfId="0" applyNumberFormat="1" applyFont="1" applyBorder="1" applyAlignment="1">
      <alignment horizontal="right" vertical="center" wrapText="1"/>
    </xf>
    <xf numFmtId="4" fontId="47" fillId="0" borderId="32" xfId="0" applyNumberFormat="1" applyFont="1" applyBorder="1" applyAlignment="1">
      <alignment horizontal="center" vertical="center"/>
    </xf>
    <xf numFmtId="4" fontId="47" fillId="0" borderId="27" xfId="0" applyNumberFormat="1" applyFont="1" applyBorder="1" applyAlignment="1">
      <alignment horizontal="center" vertical="center"/>
    </xf>
    <xf numFmtId="4" fontId="47" fillId="0" borderId="25" xfId="0" applyNumberFormat="1" applyFont="1" applyBorder="1" applyAlignment="1">
      <alignment horizontal="center" vertical="center"/>
    </xf>
    <xf numFmtId="49" fontId="48" fillId="0" borderId="12" xfId="0" applyNumberFormat="1" applyFont="1" applyBorder="1" applyAlignment="1">
      <alignment horizontal="center" vertical="center"/>
    </xf>
    <xf numFmtId="49" fontId="48" fillId="0" borderId="27" xfId="0" applyNumberFormat="1" applyFont="1" applyBorder="1" applyAlignment="1">
      <alignment horizontal="center" vertical="center"/>
    </xf>
    <xf numFmtId="49" fontId="48" fillId="0" borderId="29" xfId="0" applyNumberFormat="1" applyFont="1" applyBorder="1" applyAlignment="1">
      <alignment horizontal="center" vertical="center"/>
    </xf>
    <xf numFmtId="4" fontId="47" fillId="0" borderId="12" xfId="0" applyNumberFormat="1" applyFont="1" applyBorder="1" applyAlignment="1">
      <alignment horizontal="center" vertical="center"/>
    </xf>
    <xf numFmtId="4" fontId="47" fillId="0" borderId="29" xfId="0" applyNumberFormat="1" applyFont="1" applyBorder="1" applyAlignment="1">
      <alignment horizontal="center" vertical="center"/>
    </xf>
    <xf numFmtId="0" fontId="47" fillId="0" borderId="30" xfId="0" applyFont="1" applyBorder="1" applyAlignment="1">
      <alignment horizontal="left" vertical="center"/>
    </xf>
    <xf numFmtId="4" fontId="48" fillId="0" borderId="31" xfId="0" applyNumberFormat="1" applyFont="1" applyBorder="1" applyAlignment="1">
      <alignment horizontal="right" vertical="center" wrapText="1"/>
    </xf>
    <xf numFmtId="0" fontId="47" fillId="0" borderId="36" xfId="0" applyFont="1" applyBorder="1" applyAlignment="1">
      <alignment horizontal="left" vertical="center" wrapText="1"/>
    </xf>
    <xf numFmtId="0" fontId="47" fillId="0" borderId="37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4" fontId="48" fillId="0" borderId="33" xfId="0" applyNumberFormat="1" applyFont="1" applyBorder="1" applyAlignment="1">
      <alignment horizontal="right" vertical="center" wrapText="1"/>
    </xf>
    <xf numFmtId="4" fontId="48" fillId="0" borderId="34" xfId="0" applyNumberFormat="1" applyFont="1" applyBorder="1" applyAlignment="1">
      <alignment horizontal="right" vertical="center" wrapText="1"/>
    </xf>
    <xf numFmtId="14" fontId="49" fillId="37" borderId="12" xfId="0" applyNumberFormat="1" applyFont="1" applyFill="1" applyBorder="1" applyAlignment="1">
      <alignment horizontal="center" vertical="center" wrapText="1"/>
    </xf>
    <xf numFmtId="14" fontId="49" fillId="37" borderId="25" xfId="0" applyNumberFormat="1" applyFont="1" applyFill="1" applyBorder="1" applyAlignment="1">
      <alignment horizontal="center" vertical="center" wrapText="1"/>
    </xf>
    <xf numFmtId="0" fontId="47" fillId="0" borderId="23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left" vertical="center" wrapText="1"/>
    </xf>
    <xf numFmtId="0" fontId="47" fillId="0" borderId="24" xfId="0" applyFont="1" applyBorder="1" applyAlignment="1">
      <alignment horizontal="left" vertical="center" wrapText="1"/>
    </xf>
    <xf numFmtId="49" fontId="48" fillId="0" borderId="32" xfId="0" applyNumberFormat="1" applyFont="1" applyBorder="1" applyAlignment="1">
      <alignment horizontal="center" vertical="center"/>
    </xf>
    <xf numFmtId="49" fontId="48" fillId="0" borderId="25" xfId="0" applyNumberFormat="1" applyFont="1" applyBorder="1" applyAlignment="1">
      <alignment horizontal="center" vertical="center"/>
    </xf>
    <xf numFmtId="4" fontId="49" fillId="37" borderId="12" xfId="0" applyNumberFormat="1" applyFont="1" applyFill="1" applyBorder="1" applyAlignment="1">
      <alignment horizontal="center" vertical="center"/>
    </xf>
    <xf numFmtId="4" fontId="49" fillId="37" borderId="25" xfId="0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1" fillId="10" borderId="0" xfId="0" applyFont="1" applyFill="1" applyAlignment="1">
      <alignment horizontal="center" vertical="center"/>
    </xf>
    <xf numFmtId="0" fontId="47" fillId="0" borderId="28" xfId="0" applyFont="1" applyBorder="1" applyAlignment="1">
      <alignment horizontal="left" vertical="center"/>
    </xf>
    <xf numFmtId="4" fontId="49" fillId="37" borderId="12" xfId="0" applyNumberFormat="1" applyFont="1" applyFill="1" applyBorder="1" applyAlignment="1">
      <alignment horizontal="center" vertical="center" wrapText="1"/>
    </xf>
    <xf numFmtId="4" fontId="49" fillId="37" borderId="25" xfId="0" applyNumberFormat="1" applyFont="1" applyFill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9" fillId="37" borderId="23" xfId="0" applyFont="1" applyFill="1" applyBorder="1" applyAlignment="1">
      <alignment horizontal="center" vertical="center"/>
    </xf>
    <xf numFmtId="0" fontId="49" fillId="37" borderId="24" xfId="0" applyFont="1" applyFill="1" applyBorder="1" applyAlignment="1">
      <alignment horizontal="center" vertical="center"/>
    </xf>
    <xf numFmtId="0" fontId="47" fillId="0" borderId="30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4" fillId="0" borderId="0" xfId="0" applyFont="1" applyAlignment="1">
      <alignment horizontal="left" wrapText="1"/>
    </xf>
    <xf numFmtId="0" fontId="54" fillId="0" borderId="0" xfId="0" applyFont="1" applyAlignment="1">
      <alignment horizontal="left" vertical="center" wrapText="1"/>
    </xf>
    <xf numFmtId="0" fontId="29" fillId="25" borderId="3" xfId="0" applyFont="1" applyFill="1" applyBorder="1" applyAlignment="1">
      <alignment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30" fillId="35" borderId="3" xfId="0" applyFont="1" applyFill="1" applyBorder="1" applyAlignment="1">
      <alignment vertical="center" wrapText="1"/>
    </xf>
    <xf numFmtId="0" fontId="29" fillId="29" borderId="3" xfId="0" applyFont="1" applyFill="1" applyBorder="1" applyAlignment="1">
      <alignment vertical="top" wrapText="1"/>
    </xf>
    <xf numFmtId="0" fontId="29" fillId="29" borderId="3" xfId="0" applyFont="1" applyFill="1" applyBorder="1" applyAlignment="1">
      <alignment vertical="center" wrapText="1"/>
    </xf>
    <xf numFmtId="0" fontId="29" fillId="30" borderId="2" xfId="0" applyFont="1" applyFill="1" applyBorder="1" applyAlignment="1">
      <alignment horizontal="center" vertical="center" wrapText="1"/>
    </xf>
    <xf numFmtId="0" fontId="30" fillId="30" borderId="3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30" borderId="2" xfId="0" applyFont="1" applyFill="1" applyBorder="1"/>
    <xf numFmtId="0" fontId="29" fillId="27" borderId="2" xfId="0" applyFont="1" applyFill="1" applyBorder="1" applyAlignment="1">
      <alignment horizontal="center" vertical="center" wrapText="1"/>
    </xf>
    <xf numFmtId="0" fontId="21" fillId="0" borderId="0" xfId="37" applyFont="1"/>
    <xf numFmtId="0" fontId="21" fillId="0" borderId="0" xfId="37" applyFont="1" applyAlignment="1">
      <alignment horizontal="left"/>
    </xf>
    <xf numFmtId="0" fontId="34" fillId="0" borderId="0" xfId="37" applyFont="1"/>
    <xf numFmtId="0" fontId="53" fillId="0" borderId="0" xfId="37" applyFont="1" applyAlignment="1">
      <alignment horizontal="right"/>
    </xf>
    <xf numFmtId="0" fontId="57" fillId="15" borderId="1" xfId="37" applyFont="1" applyFill="1" applyBorder="1" applyAlignment="1">
      <alignment horizontal="center"/>
    </xf>
    <xf numFmtId="3" fontId="18" fillId="26" borderId="5" xfId="37" applyNumberFormat="1" applyFont="1" applyFill="1" applyBorder="1" applyAlignment="1">
      <alignment horizontal="center" vertical="center"/>
    </xf>
    <xf numFmtId="3" fontId="18" fillId="26" borderId="6" xfId="37" applyNumberFormat="1" applyFont="1" applyFill="1" applyBorder="1" applyAlignment="1">
      <alignment horizontal="center" vertical="center"/>
    </xf>
    <xf numFmtId="0" fontId="12" fillId="0" borderId="0" xfId="37" applyFont="1" applyAlignment="1">
      <alignment wrapText="1"/>
    </xf>
    <xf numFmtId="0" fontId="34" fillId="0" borderId="0" xfId="36" applyFont="1"/>
    <xf numFmtId="0" fontId="14" fillId="0" borderId="0" xfId="36" applyFont="1" applyAlignment="1">
      <alignment horizontal="center"/>
    </xf>
    <xf numFmtId="0" fontId="21" fillId="27" borderId="2" xfId="36" applyFont="1" applyFill="1" applyBorder="1"/>
    <xf numFmtId="0" fontId="21" fillId="27" borderId="3" xfId="36" applyFont="1" applyFill="1" applyBorder="1"/>
    <xf numFmtId="0" fontId="58" fillId="27" borderId="2" xfId="2" applyFont="1" applyFill="1" applyBorder="1" applyAlignment="1">
      <alignment horizontal="center" vertical="center" wrapText="1"/>
    </xf>
    <xf numFmtId="0" fontId="58" fillId="27" borderId="3" xfId="2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1 2" xfId="31" xr:uid="{C99B6DC4-8A46-4F52-8B57-6BC77BEA40A9}"/>
    <cellStyle name="Normálna 11 2 2" xfId="49" xr:uid="{63B7CA4C-4376-4865-9F18-24C5BC316515}"/>
    <cellStyle name="Normálna 12" xfId="27" xr:uid="{00000000-0005-0000-0000-000004000000}"/>
    <cellStyle name="Normálna 12 2" xfId="33" xr:uid="{F76B0DB6-DE57-4FB6-A380-38D9C8053ADB}"/>
    <cellStyle name="Normálna 12 3" xfId="35" xr:uid="{53BDB5A8-E057-41E5-8C19-BA944CC18181}"/>
    <cellStyle name="Normálna 13" xfId="28" xr:uid="{00000000-0005-0000-0000-000005000000}"/>
    <cellStyle name="Normálna 13 2" xfId="32" xr:uid="{B7244BA8-F247-498E-ADE2-E6227A7321F5}"/>
    <cellStyle name="Normálna 14" xfId="29" xr:uid="{00000000-0005-0000-0000-000006000000}"/>
    <cellStyle name="Normálna 14 2" xfId="37" xr:uid="{CD9F5E34-AE75-429D-8E4C-EA3DF7427BD4}"/>
    <cellStyle name="Normálna 15" xfId="30" xr:uid="{615BB169-64E3-4092-AAFD-954A29086734}"/>
    <cellStyle name="Normálna 15 2" xfId="48" xr:uid="{842C2B17-0730-4B54-85B7-8845130268AF}"/>
    <cellStyle name="Normálna 16" xfId="34" xr:uid="{9B70B4CE-FF5F-4D81-8430-FB0FCE99C7AD}"/>
    <cellStyle name="Normálna 17" xfId="36" xr:uid="{2C1FE4FB-F292-4FB3-AD4C-E1E3C80D4675}"/>
    <cellStyle name="Normálna 18" xfId="38" xr:uid="{47CD9248-9CB7-4997-9E44-F50CA93712B4}"/>
    <cellStyle name="Normálna 19" xfId="39" xr:uid="{F4DC07EE-CB9E-4E25-A3A5-ED9446A66BB6}"/>
    <cellStyle name="Normálna 2" xfId="4" xr:uid="{00000000-0005-0000-0000-000007000000}"/>
    <cellStyle name="Normálna 2 2" xfId="40" xr:uid="{64231CB5-8033-4EED-838E-5733A807E390}"/>
    <cellStyle name="Normálna 20" xfId="47" xr:uid="{DEF4DD9F-BF6B-4D97-A0CA-DD9195F552DB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2 5" xfId="41" xr:uid="{87C0D2E2-9EC0-4FF4-A1D3-D34556C7302A}"/>
    <cellStyle name="Normálne 2 6" xfId="43" xr:uid="{5D7B5AEE-5122-4523-8563-D45902C8A199}"/>
    <cellStyle name="Normálne 2 7" xfId="45" xr:uid="{8B57D4F4-C6D7-405E-9DDD-CC3C8D7EBE01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  <cellStyle name="Normálne 3 4" xfId="42" xr:uid="{43BF8765-F3DE-4777-AE79-BA07702FEA76}"/>
    <cellStyle name="Normálne 3 5" xfId="44" xr:uid="{477C9CBC-EC7F-41E2-A0B7-74D504C6682B}"/>
    <cellStyle name="Normálne 3 6" xfId="46" xr:uid="{82B2E588-C5B5-47C9-8319-43128496CB6E}"/>
  </cellStyles>
  <dxfs count="0"/>
  <tableStyles count="0" defaultTableStyle="TableStyleMedium2" defaultPivotStyle="PivotStyleLight16"/>
  <colors>
    <mruColors>
      <color rgb="FF366092"/>
      <color rgb="FFC5D9F1"/>
      <color rgb="FF1F4E78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</a:t>
            </a:r>
            <a:r>
              <a:rPr lang="sk-SK"/>
              <a:t>J DLHOVEJ SLUŽBY</a:t>
            </a:r>
            <a:r>
              <a:rPr lang="sk-SK" baseline="0"/>
              <a:t> V ROKOCH 2018-2023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delete val="1"/>
          </c:dLbls>
          <c:cat>
            <c:numRef>
              <c:f>Vývoj_dlhovej_služby!$C$7:$H$7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Vývoj_dlhovej_služby!$C$10:$H$10</c:f>
              <c:numCache>
                <c:formatCode>#,##0</c:formatCode>
                <c:ptCount val="6"/>
                <c:pt idx="0">
                  <c:v>13381</c:v>
                </c:pt>
                <c:pt idx="1">
                  <c:v>12837</c:v>
                </c:pt>
                <c:pt idx="2">
                  <c:v>13686</c:v>
                </c:pt>
                <c:pt idx="3">
                  <c:v>11680</c:v>
                </c:pt>
                <c:pt idx="4">
                  <c:v>12374</c:v>
                </c:pt>
                <c:pt idx="5">
                  <c:v>11244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6FF-802B-02A512CC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9957200"/>
        <c:axId val="191789456"/>
      </c:areaChart>
      <c:catAx>
        <c:axId val="2199572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789456"/>
        <c:crosses val="autoZero"/>
        <c:auto val="1"/>
        <c:lblAlgn val="ctr"/>
        <c:lblOffset val="100"/>
        <c:noMultiLvlLbl val="0"/>
      </c:catAx>
      <c:valAx>
        <c:axId val="1917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995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25</xdr:row>
      <xdr:rowOff>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38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37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30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37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28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36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25</xdr:row>
      <xdr:rowOff>0</xdr:rowOff>
    </xdr:from>
    <xdr:ext cx="184727" cy="937625"/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AC7C81F1-C85C-4A08-86BC-593BDF5F0981}"/>
            </a:ext>
          </a:extLst>
        </xdr:cNvPr>
        <xdr:cNvSpPr/>
      </xdr:nvSpPr>
      <xdr:spPr>
        <a:xfrm>
          <a:off x="4122447" y="4762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38</xdr:row>
      <xdr:rowOff>0</xdr:rowOff>
    </xdr:from>
    <xdr:ext cx="184727" cy="937625"/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608143B9-578F-4484-93B8-F14A690818E8}"/>
            </a:ext>
          </a:extLst>
        </xdr:cNvPr>
        <xdr:cNvSpPr/>
      </xdr:nvSpPr>
      <xdr:spPr>
        <a:xfrm>
          <a:off x="4122447" y="8191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37</xdr:row>
      <xdr:rowOff>0</xdr:rowOff>
    </xdr:from>
    <xdr:ext cx="184727" cy="937625"/>
    <xdr:sp macro="" textlink="">
      <xdr:nvSpPr>
        <xdr:cNvPr id="12" name="Obdĺžnik 4">
          <a:extLst>
            <a:ext uri="{FF2B5EF4-FFF2-40B4-BE49-F238E27FC236}">
              <a16:creationId xmlns:a16="http://schemas.microsoft.com/office/drawing/2014/main" id="{02AE5365-4636-4F0B-BBC2-8F469B1DB212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30</xdr:row>
      <xdr:rowOff>2670</xdr:rowOff>
    </xdr:from>
    <xdr:ext cx="184727" cy="937625"/>
    <xdr:sp macro="" textlink="">
      <xdr:nvSpPr>
        <xdr:cNvPr id="13" name="Obdĺžnik 5">
          <a:extLst>
            <a:ext uri="{FF2B5EF4-FFF2-40B4-BE49-F238E27FC236}">
              <a16:creationId xmlns:a16="http://schemas.microsoft.com/office/drawing/2014/main" id="{54B1051C-40A5-44DB-A026-20D99D87E6B1}"/>
            </a:ext>
          </a:extLst>
        </xdr:cNvPr>
        <xdr:cNvSpPr/>
      </xdr:nvSpPr>
      <xdr:spPr>
        <a:xfrm>
          <a:off x="4122447" y="62891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37</xdr:row>
      <xdr:rowOff>0</xdr:rowOff>
    </xdr:from>
    <xdr:ext cx="184727" cy="937625"/>
    <xdr:sp macro="" textlink="">
      <xdr:nvSpPr>
        <xdr:cNvPr id="14" name="Obdĺžnik 6">
          <a:extLst>
            <a:ext uri="{FF2B5EF4-FFF2-40B4-BE49-F238E27FC236}">
              <a16:creationId xmlns:a16="http://schemas.microsoft.com/office/drawing/2014/main" id="{564DEB23-B9EF-415F-A508-90E15EAB4A6D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28</xdr:row>
      <xdr:rowOff>2670</xdr:rowOff>
    </xdr:from>
    <xdr:ext cx="184727" cy="937625"/>
    <xdr:sp macro="" textlink="">
      <xdr:nvSpPr>
        <xdr:cNvPr id="15" name="Obdĺžnik 7">
          <a:extLst>
            <a:ext uri="{FF2B5EF4-FFF2-40B4-BE49-F238E27FC236}">
              <a16:creationId xmlns:a16="http://schemas.microsoft.com/office/drawing/2014/main" id="{7978C585-38E1-48D3-871B-8E1618664850}"/>
            </a:ext>
          </a:extLst>
        </xdr:cNvPr>
        <xdr:cNvSpPr/>
      </xdr:nvSpPr>
      <xdr:spPr>
        <a:xfrm>
          <a:off x="4122447" y="57176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36</xdr:row>
      <xdr:rowOff>0</xdr:rowOff>
    </xdr:from>
    <xdr:ext cx="184727" cy="937625"/>
    <xdr:sp macro="" textlink="">
      <xdr:nvSpPr>
        <xdr:cNvPr id="16" name="Obdĺžnik 8">
          <a:extLst>
            <a:ext uri="{FF2B5EF4-FFF2-40B4-BE49-F238E27FC236}">
              <a16:creationId xmlns:a16="http://schemas.microsoft.com/office/drawing/2014/main" id="{7F774068-E052-4194-B5A2-1DA4155A4ADC}"/>
            </a:ext>
          </a:extLst>
        </xdr:cNvPr>
        <xdr:cNvSpPr/>
      </xdr:nvSpPr>
      <xdr:spPr>
        <a:xfrm>
          <a:off x="4122447" y="7620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23</xdr:row>
      <xdr:rowOff>161926</xdr:rowOff>
    </xdr:from>
    <xdr:to>
      <xdr:col>7</xdr:col>
      <xdr:colOff>133350</xdr:colOff>
      <xdr:row>37</xdr:row>
      <xdr:rowOff>14288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E0E7799-31DB-AB61-DF92-10748FC5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L26"/>
  <sheetViews>
    <sheetView tabSelected="1" workbookViewId="0"/>
  </sheetViews>
  <sheetFormatPr defaultRowHeight="14.25" x14ac:dyDescent="0.2"/>
  <cols>
    <col min="1" max="1" width="1.85546875" style="1" customWidth="1"/>
    <col min="2" max="2" width="4.140625" style="1" customWidth="1"/>
    <col min="3" max="3" width="35.5703125" style="1" customWidth="1"/>
    <col min="4" max="4" width="14.140625" style="1" customWidth="1"/>
    <col min="5" max="5" width="11.5703125" style="1" customWidth="1"/>
    <col min="6" max="6" width="8.7109375" style="1" customWidth="1"/>
    <col min="7" max="7" width="10.42578125" style="1" customWidth="1"/>
    <col min="8" max="8" width="13.42578125" style="1" customWidth="1"/>
    <col min="9" max="9" width="11.140625" style="1" customWidth="1"/>
    <col min="10" max="10" width="9.85546875" style="1" customWidth="1"/>
    <col min="11" max="11" width="12" style="1" customWidth="1"/>
    <col min="12" max="12" width="14.42578125" style="1" customWidth="1"/>
    <col min="13" max="13" width="9.140625" style="1" customWidth="1"/>
    <col min="14" max="16384" width="9.140625" style="1"/>
  </cols>
  <sheetData>
    <row r="3" spans="2:12" ht="18.75" customHeight="1" x14ac:dyDescent="0.25">
      <c r="B3" s="18"/>
      <c r="C3" s="559" t="s">
        <v>621</v>
      </c>
      <c r="D3" s="559"/>
      <c r="E3" s="559"/>
      <c r="F3" s="559"/>
      <c r="G3" s="559"/>
      <c r="H3" s="559"/>
      <c r="I3" s="559"/>
      <c r="J3" s="559"/>
      <c r="K3" s="559"/>
      <c r="L3" s="18"/>
    </row>
    <row r="4" spans="2:12" ht="15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ht="38.25" x14ac:dyDescent="0.2">
      <c r="B5" s="33"/>
      <c r="C5" s="19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1" t="s">
        <v>9</v>
      </c>
    </row>
    <row r="6" spans="2:12" x14ac:dyDescent="0.2">
      <c r="B6" s="556" t="s">
        <v>10</v>
      </c>
      <c r="C6" s="22" t="s">
        <v>11</v>
      </c>
      <c r="D6" s="23">
        <v>369948.37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4">
        <f t="shared" ref="L6:L23" si="0">D6+E6+F6+G6+H6+I6+J6+K6</f>
        <v>369948.37</v>
      </c>
    </row>
    <row r="7" spans="2:12" x14ac:dyDescent="0.2">
      <c r="B7" s="542" t="s">
        <v>12</v>
      </c>
      <c r="C7" s="25" t="s">
        <v>13</v>
      </c>
      <c r="D7" s="26">
        <v>169132128.19</v>
      </c>
      <c r="E7" s="26">
        <v>66809171.109999999</v>
      </c>
      <c r="F7" s="26">
        <v>688191.36</v>
      </c>
      <c r="G7" s="26">
        <v>5157053.0199999996</v>
      </c>
      <c r="H7" s="26">
        <v>1390493.63</v>
      </c>
      <c r="I7" s="26">
        <v>9140867.5600000005</v>
      </c>
      <c r="J7" s="26">
        <v>6457.32</v>
      </c>
      <c r="K7" s="26">
        <v>349781.72</v>
      </c>
      <c r="L7" s="27">
        <f t="shared" si="0"/>
        <v>252674143.91000003</v>
      </c>
    </row>
    <row r="8" spans="2:12" x14ac:dyDescent="0.2">
      <c r="B8" s="542" t="s">
        <v>14</v>
      </c>
      <c r="C8" s="25" t="s">
        <v>15</v>
      </c>
      <c r="D8" s="26">
        <v>21172950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7">
        <f t="shared" si="0"/>
        <v>21172950</v>
      </c>
    </row>
    <row r="9" spans="2:12" x14ac:dyDescent="0.2">
      <c r="B9" s="542" t="s">
        <v>16</v>
      </c>
      <c r="C9" s="25" t="s">
        <v>17</v>
      </c>
      <c r="D9" s="26">
        <v>41575.83</v>
      </c>
      <c r="E9" s="26">
        <v>25642.46</v>
      </c>
      <c r="F9" s="26">
        <v>8078.43</v>
      </c>
      <c r="G9" s="26">
        <v>12014</v>
      </c>
      <c r="H9" s="26">
        <v>0</v>
      </c>
      <c r="I9" s="26">
        <v>24776.87</v>
      </c>
      <c r="J9" s="26">
        <v>0</v>
      </c>
      <c r="K9" s="26">
        <v>0</v>
      </c>
      <c r="L9" s="27">
        <f t="shared" si="0"/>
        <v>112087.59</v>
      </c>
    </row>
    <row r="10" spans="2:12" x14ac:dyDescent="0.2">
      <c r="B10" s="542" t="s">
        <v>18</v>
      </c>
      <c r="C10" s="25" t="s">
        <v>19</v>
      </c>
      <c r="D10" s="26">
        <v>83746177.760000005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7">
        <f t="shared" si="0"/>
        <v>83746177.760000005</v>
      </c>
    </row>
    <row r="11" spans="2:12" x14ac:dyDescent="0.2">
      <c r="B11" s="542" t="s">
        <v>20</v>
      </c>
      <c r="C11" s="25" t="s">
        <v>21</v>
      </c>
      <c r="D11" s="26">
        <f>794296.52</f>
        <v>794296.52</v>
      </c>
      <c r="E11" s="26">
        <f>515.55+69782.21</f>
        <v>70297.760000000009</v>
      </c>
      <c r="F11" s="26">
        <v>122968.63</v>
      </c>
      <c r="G11" s="26">
        <v>410.32</v>
      </c>
      <c r="H11" s="26">
        <v>0</v>
      </c>
      <c r="I11" s="26">
        <v>6550.78</v>
      </c>
      <c r="J11" s="26">
        <v>0</v>
      </c>
      <c r="K11" s="26">
        <v>0</v>
      </c>
      <c r="L11" s="27">
        <f t="shared" si="0"/>
        <v>994524.01</v>
      </c>
    </row>
    <row r="12" spans="2:12" x14ac:dyDescent="0.2">
      <c r="B12" s="542" t="s">
        <v>22</v>
      </c>
      <c r="C12" s="25" t="s">
        <v>23</v>
      </c>
      <c r="D12" s="26">
        <v>11678355.890000001</v>
      </c>
      <c r="E12" s="26">
        <v>208517.25</v>
      </c>
      <c r="F12" s="26">
        <v>3111.91</v>
      </c>
      <c r="G12" s="26">
        <v>22232.83</v>
      </c>
      <c r="H12" s="26">
        <v>4516.43</v>
      </c>
      <c r="I12" s="26">
        <v>1418356.56</v>
      </c>
      <c r="J12" s="26">
        <v>3364.87</v>
      </c>
      <c r="K12" s="26">
        <v>16749.29</v>
      </c>
      <c r="L12" s="27">
        <f t="shared" si="0"/>
        <v>13355205.029999999</v>
      </c>
    </row>
    <row r="13" spans="2:12" x14ac:dyDescent="0.2">
      <c r="B13" s="557" t="s">
        <v>24</v>
      </c>
      <c r="C13" s="28" t="s">
        <v>25</v>
      </c>
      <c r="D13" s="29">
        <v>74989.73</v>
      </c>
      <c r="E13" s="29">
        <v>4622.58</v>
      </c>
      <c r="F13" s="29">
        <v>28204.720000000001</v>
      </c>
      <c r="G13" s="29">
        <v>208264.47</v>
      </c>
      <c r="H13" s="29">
        <v>10486.45</v>
      </c>
      <c r="I13" s="29">
        <v>214850.86</v>
      </c>
      <c r="J13" s="29">
        <v>838.34</v>
      </c>
      <c r="K13" s="29">
        <v>641.29999999999995</v>
      </c>
      <c r="L13" s="30">
        <f t="shared" si="0"/>
        <v>542898.45000000007</v>
      </c>
    </row>
    <row r="14" spans="2:12" customFormat="1" ht="15" x14ac:dyDescent="0.25">
      <c r="B14" s="558"/>
      <c r="C14" s="31" t="s">
        <v>26</v>
      </c>
      <c r="D14" s="32">
        <f>SUM(D6:D13)</f>
        <v>287010422.29000002</v>
      </c>
      <c r="E14" s="32">
        <f t="shared" ref="E14:K14" si="1">SUM(E6:E13)</f>
        <v>67118251.159999996</v>
      </c>
      <c r="F14" s="32">
        <f t="shared" si="1"/>
        <v>850555.05</v>
      </c>
      <c r="G14" s="32">
        <f t="shared" si="1"/>
        <v>5399974.6399999997</v>
      </c>
      <c r="H14" s="32">
        <f t="shared" si="1"/>
        <v>1405496.5099999998</v>
      </c>
      <c r="I14" s="32">
        <f t="shared" si="1"/>
        <v>10805402.629999999</v>
      </c>
      <c r="J14" s="32">
        <f t="shared" si="1"/>
        <v>10660.529999999999</v>
      </c>
      <c r="K14" s="32">
        <f t="shared" si="1"/>
        <v>367172.30999999994</v>
      </c>
      <c r="L14" s="32">
        <f t="shared" si="0"/>
        <v>372967935.12</v>
      </c>
    </row>
    <row r="15" spans="2:12" customFormat="1" ht="15" x14ac:dyDescent="0.25">
      <c r="B15" s="556" t="s">
        <v>27</v>
      </c>
      <c r="C15" s="22" t="s">
        <v>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4">
        <f t="shared" si="0"/>
        <v>0</v>
      </c>
    </row>
    <row r="16" spans="2:12" customFormat="1" ht="15" x14ac:dyDescent="0.25">
      <c r="B16" s="542" t="s">
        <v>29</v>
      </c>
      <c r="C16" s="25" t="s">
        <v>30</v>
      </c>
      <c r="D16" s="26">
        <v>194204926.13999999</v>
      </c>
      <c r="E16" s="26">
        <v>-348149.66</v>
      </c>
      <c r="F16" s="26">
        <v>-303331.3</v>
      </c>
      <c r="G16" s="26">
        <v>-506838.6</v>
      </c>
      <c r="H16" s="26">
        <v>-38848.26</v>
      </c>
      <c r="I16" s="26">
        <v>-309245.40000000002</v>
      </c>
      <c r="J16" s="26">
        <v>-15996.38</v>
      </c>
      <c r="K16" s="26">
        <v>-93634.41</v>
      </c>
      <c r="L16" s="27">
        <f t="shared" si="0"/>
        <v>192588882.13</v>
      </c>
    </row>
    <row r="17" spans="2:12" customFormat="1" ht="15" x14ac:dyDescent="0.25">
      <c r="B17" s="542" t="s">
        <v>31</v>
      </c>
      <c r="C17" s="25" t="s">
        <v>32</v>
      </c>
      <c r="D17" s="26">
        <v>286713.28999999998</v>
      </c>
      <c r="E17" s="26">
        <v>23967.119999999999</v>
      </c>
      <c r="F17" s="26">
        <v>15196.25</v>
      </c>
      <c r="G17" s="26">
        <v>188942</v>
      </c>
      <c r="H17" s="26">
        <v>92.76</v>
      </c>
      <c r="I17" s="26">
        <v>24172.53</v>
      </c>
      <c r="J17" s="26">
        <v>189.09</v>
      </c>
      <c r="K17" s="26">
        <v>3500</v>
      </c>
      <c r="L17" s="27">
        <f t="shared" si="0"/>
        <v>542773.03999999992</v>
      </c>
    </row>
    <row r="18" spans="2:12" customFormat="1" ht="15" x14ac:dyDescent="0.25">
      <c r="B18" s="542" t="s">
        <v>33</v>
      </c>
      <c r="C18" s="25" t="s">
        <v>19</v>
      </c>
      <c r="D18" s="26">
        <v>1050113.03</v>
      </c>
      <c r="E18" s="26">
        <v>66869654.950000003</v>
      </c>
      <c r="F18" s="26">
        <v>793768.71</v>
      </c>
      <c r="G18" s="26">
        <v>5157053.0199999996</v>
      </c>
      <c r="H18" s="26">
        <v>1390493.63</v>
      </c>
      <c r="I18" s="26">
        <v>9058039.0399999991</v>
      </c>
      <c r="J18" s="26">
        <v>6457.32</v>
      </c>
      <c r="K18" s="26">
        <v>349781.72</v>
      </c>
      <c r="L18" s="27">
        <f t="shared" si="0"/>
        <v>84675361.419999987</v>
      </c>
    </row>
    <row r="19" spans="2:12" customFormat="1" ht="15" x14ac:dyDescent="0.25">
      <c r="B19" s="542" t="s">
        <v>34</v>
      </c>
      <c r="C19" s="25" t="s">
        <v>35</v>
      </c>
      <c r="D19" s="26">
        <v>2284164.3199999998</v>
      </c>
      <c r="E19" s="26">
        <v>185947.2</v>
      </c>
      <c r="F19" s="26">
        <v>3871.07</v>
      </c>
      <c r="G19" s="26">
        <v>19232.830000000002</v>
      </c>
      <c r="H19" s="26">
        <v>4516.43</v>
      </c>
      <c r="I19" s="26">
        <v>58776.4</v>
      </c>
      <c r="J19" s="26">
        <v>2651.76</v>
      </c>
      <c r="K19" s="26">
        <v>3141.29</v>
      </c>
      <c r="L19" s="27">
        <f t="shared" si="0"/>
        <v>2562301.2999999998</v>
      </c>
    </row>
    <row r="20" spans="2:12" customFormat="1" ht="15" x14ac:dyDescent="0.25">
      <c r="B20" s="542" t="s">
        <v>36</v>
      </c>
      <c r="C20" s="25" t="s">
        <v>37</v>
      </c>
      <c r="D20" s="26">
        <v>1262266.08</v>
      </c>
      <c r="E20" s="26">
        <v>386333.73</v>
      </c>
      <c r="F20" s="26">
        <v>322122.87</v>
      </c>
      <c r="G20" s="26">
        <v>516773.56</v>
      </c>
      <c r="H20" s="26">
        <v>45581.95</v>
      </c>
      <c r="I20" s="26">
        <v>1830706.88</v>
      </c>
      <c r="J20" s="26">
        <v>17358.740000000002</v>
      </c>
      <c r="K20" s="26">
        <v>104383.71</v>
      </c>
      <c r="L20" s="27">
        <f t="shared" si="0"/>
        <v>4485527.5200000005</v>
      </c>
    </row>
    <row r="21" spans="2:12" customFormat="1" ht="15" x14ac:dyDescent="0.25">
      <c r="B21" s="542" t="s">
        <v>38</v>
      </c>
      <c r="C21" s="25" t="s">
        <v>40</v>
      </c>
      <c r="D21" s="26">
        <v>76678446.370000005</v>
      </c>
      <c r="E21" s="26">
        <v>497.82</v>
      </c>
      <c r="F21" s="26">
        <v>18927.45</v>
      </c>
      <c r="G21" s="26">
        <v>24811.83</v>
      </c>
      <c r="H21" s="26">
        <v>3660</v>
      </c>
      <c r="I21" s="26">
        <v>3496.91</v>
      </c>
      <c r="J21" s="26">
        <v>0</v>
      </c>
      <c r="K21" s="26">
        <v>0</v>
      </c>
      <c r="L21" s="27">
        <f t="shared" si="0"/>
        <v>76729840.379999995</v>
      </c>
    </row>
    <row r="22" spans="2:12" customFormat="1" ht="15" x14ac:dyDescent="0.25">
      <c r="B22" s="557" t="s">
        <v>39</v>
      </c>
      <c r="C22" s="28" t="s">
        <v>41</v>
      </c>
      <c r="D22" s="29">
        <v>11243793.060000001</v>
      </c>
      <c r="E22" s="29">
        <v>0</v>
      </c>
      <c r="F22" s="29">
        <v>0</v>
      </c>
      <c r="G22" s="29">
        <v>0</v>
      </c>
      <c r="H22" s="29">
        <v>0</v>
      </c>
      <c r="I22" s="29">
        <v>139456.26999999999</v>
      </c>
      <c r="J22" s="29">
        <v>0</v>
      </c>
      <c r="K22" s="29">
        <v>0</v>
      </c>
      <c r="L22" s="30">
        <f t="shared" si="0"/>
        <v>11383249.33</v>
      </c>
    </row>
    <row r="23" spans="2:12" customFormat="1" ht="15.75" x14ac:dyDescent="0.25">
      <c r="B23" s="34"/>
      <c r="C23" s="31" t="s">
        <v>42</v>
      </c>
      <c r="D23" s="32">
        <f>SUM(D15:D22)</f>
        <v>287010422.29000002</v>
      </c>
      <c r="E23" s="32">
        <f t="shared" ref="E23:K23" si="2">SUM(E15:E22)</f>
        <v>67118251.159999996</v>
      </c>
      <c r="F23" s="32">
        <f t="shared" si="2"/>
        <v>850555.04999999993</v>
      </c>
      <c r="G23" s="32">
        <f t="shared" si="2"/>
        <v>5399974.6399999997</v>
      </c>
      <c r="H23" s="32">
        <f t="shared" si="2"/>
        <v>1405496.5099999998</v>
      </c>
      <c r="I23" s="32">
        <f t="shared" si="2"/>
        <v>10805402.629999999</v>
      </c>
      <c r="J23" s="32">
        <f t="shared" si="2"/>
        <v>10660.530000000002</v>
      </c>
      <c r="K23" s="32">
        <f t="shared" si="2"/>
        <v>367172.31</v>
      </c>
      <c r="L23" s="32">
        <f t="shared" si="0"/>
        <v>372967935.12</v>
      </c>
    </row>
    <row r="24" spans="2:12" ht="15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"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D26" s="4"/>
    </row>
  </sheetData>
  <mergeCells count="1">
    <mergeCell ref="C3:K3"/>
  </mergeCells>
  <pageMargins left="0.59055118110236227" right="0.11811023622047245" top="0.74803149606299213" bottom="0.74803149606299213" header="0.31496062992125984" footer="0.31496062992125984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I76"/>
  <sheetViews>
    <sheetView workbookViewId="0"/>
  </sheetViews>
  <sheetFormatPr defaultColWidth="9.140625" defaultRowHeight="14.25" x14ac:dyDescent="0.25"/>
  <cols>
    <col min="1" max="1" width="9.140625" style="8"/>
    <col min="2" max="2" width="6.85546875" style="8" customWidth="1"/>
    <col min="3" max="3" width="42.140625" style="8" customWidth="1"/>
    <col min="4" max="4" width="63" style="8" customWidth="1"/>
    <col min="5" max="5" width="12.140625" style="84" customWidth="1"/>
    <col min="6" max="6" width="4.42578125" style="8" customWidth="1"/>
    <col min="7" max="7" width="10.140625" style="8" customWidth="1"/>
    <col min="8" max="8" width="35.28515625" style="8" customWidth="1"/>
    <col min="9" max="9" width="49.7109375" style="8" customWidth="1"/>
    <col min="10" max="16384" width="9.140625" style="8"/>
  </cols>
  <sheetData>
    <row r="1" spans="2:9" x14ac:dyDescent="0.25">
      <c r="B1" s="267"/>
      <c r="C1" s="267"/>
      <c r="D1" s="267"/>
      <c r="E1" s="268"/>
      <c r="F1" s="267"/>
      <c r="G1" s="267"/>
      <c r="H1" s="267"/>
      <c r="I1" s="267"/>
    </row>
    <row r="2" spans="2:9" x14ac:dyDescent="0.25">
      <c r="B2" s="267"/>
      <c r="C2" s="267"/>
      <c r="D2" s="267"/>
      <c r="E2" s="268"/>
      <c r="F2" s="267"/>
      <c r="G2" s="267"/>
      <c r="H2" s="267"/>
      <c r="I2" s="267"/>
    </row>
    <row r="3" spans="2:9" ht="18" x14ac:dyDescent="0.25">
      <c r="B3" s="598" t="s">
        <v>671</v>
      </c>
      <c r="C3" s="598"/>
      <c r="D3" s="598"/>
      <c r="E3" s="598"/>
      <c r="F3" s="267"/>
      <c r="G3" s="267"/>
      <c r="H3" s="267"/>
      <c r="I3" s="267"/>
    </row>
    <row r="4" spans="2:9" ht="11.25" customHeight="1" x14ac:dyDescent="0.25">
      <c r="B4" s="269"/>
      <c r="C4" s="269"/>
      <c r="D4" s="269"/>
      <c r="E4" s="270"/>
      <c r="F4" s="267"/>
      <c r="G4" s="267"/>
      <c r="H4" s="267"/>
      <c r="I4" s="267"/>
    </row>
    <row r="5" spans="2:9" ht="18" x14ac:dyDescent="0.25">
      <c r="B5" s="599" t="s">
        <v>160</v>
      </c>
      <c r="C5" s="599"/>
      <c r="D5" s="269"/>
      <c r="E5" s="270"/>
      <c r="F5" s="267"/>
      <c r="G5" s="267"/>
    </row>
    <row r="6" spans="2:9" ht="6" customHeight="1" x14ac:dyDescent="0.25">
      <c r="B6" s="267"/>
      <c r="C6" s="267"/>
      <c r="D6" s="267"/>
      <c r="E6" s="268"/>
      <c r="F6" s="267"/>
      <c r="G6" s="267"/>
    </row>
    <row r="7" spans="2:9" ht="25.5" x14ac:dyDescent="0.25">
      <c r="B7" s="256" t="s">
        <v>151</v>
      </c>
      <c r="C7" s="257" t="s">
        <v>162</v>
      </c>
      <c r="D7" s="257" t="s">
        <v>163</v>
      </c>
      <c r="E7" s="258" t="s">
        <v>463</v>
      </c>
      <c r="F7" s="267"/>
      <c r="G7" s="267"/>
    </row>
    <row r="8" spans="2:9" x14ac:dyDescent="0.2">
      <c r="B8" s="285">
        <v>1</v>
      </c>
      <c r="C8" s="289" t="s">
        <v>566</v>
      </c>
      <c r="D8" s="289" t="s">
        <v>660</v>
      </c>
      <c r="E8" s="314">
        <v>2000</v>
      </c>
      <c r="F8" s="267"/>
      <c r="G8" s="267"/>
    </row>
    <row r="9" spans="2:9" x14ac:dyDescent="0.2">
      <c r="B9" s="286">
        <v>2</v>
      </c>
      <c r="C9" s="290" t="s">
        <v>567</v>
      </c>
      <c r="D9" s="290" t="s">
        <v>661</v>
      </c>
      <c r="E9" s="315">
        <v>2500</v>
      </c>
      <c r="F9" s="267"/>
      <c r="G9" s="267"/>
    </row>
    <row r="10" spans="2:9" x14ac:dyDescent="0.2">
      <c r="B10" s="286">
        <v>3</v>
      </c>
      <c r="C10" s="290" t="s">
        <v>499</v>
      </c>
      <c r="D10" s="290" t="s">
        <v>662</v>
      </c>
      <c r="E10" s="315">
        <v>3000</v>
      </c>
      <c r="F10" s="267"/>
      <c r="G10" s="267"/>
    </row>
    <row r="11" spans="2:9" x14ac:dyDescent="0.2">
      <c r="B11" s="286">
        <v>4</v>
      </c>
      <c r="C11" s="290" t="s">
        <v>654</v>
      </c>
      <c r="D11" s="290" t="s">
        <v>663</v>
      </c>
      <c r="E11" s="315">
        <v>700</v>
      </c>
      <c r="F11" s="267"/>
      <c r="G11" s="267"/>
    </row>
    <row r="12" spans="2:9" x14ac:dyDescent="0.2">
      <c r="B12" s="286">
        <v>5</v>
      </c>
      <c r="C12" s="290" t="s">
        <v>588</v>
      </c>
      <c r="D12" s="290" t="s">
        <v>664</v>
      </c>
      <c r="E12" s="315">
        <v>1250</v>
      </c>
      <c r="F12" s="267"/>
      <c r="G12" s="267"/>
    </row>
    <row r="13" spans="2:9" x14ac:dyDescent="0.2">
      <c r="B13" s="286">
        <v>6</v>
      </c>
      <c r="C13" s="290" t="s">
        <v>655</v>
      </c>
      <c r="D13" s="290" t="s">
        <v>665</v>
      </c>
      <c r="E13" s="315">
        <v>1000</v>
      </c>
      <c r="F13" s="267"/>
      <c r="G13" s="267"/>
    </row>
    <row r="14" spans="2:9" x14ac:dyDescent="0.2">
      <c r="B14" s="286">
        <v>7</v>
      </c>
      <c r="C14" s="290" t="s">
        <v>656</v>
      </c>
      <c r="D14" s="290" t="s">
        <v>666</v>
      </c>
      <c r="E14" s="315">
        <v>2000</v>
      </c>
      <c r="F14" s="267"/>
      <c r="G14" s="267"/>
    </row>
    <row r="15" spans="2:9" x14ac:dyDescent="0.2">
      <c r="B15" s="286">
        <v>8</v>
      </c>
      <c r="C15" s="290" t="s">
        <v>657</v>
      </c>
      <c r="D15" s="290" t="s">
        <v>667</v>
      </c>
      <c r="E15" s="315">
        <v>860</v>
      </c>
      <c r="F15" s="267"/>
      <c r="G15" s="267"/>
    </row>
    <row r="16" spans="2:9" x14ac:dyDescent="0.2">
      <c r="B16" s="286">
        <v>9</v>
      </c>
      <c r="C16" s="290" t="s">
        <v>484</v>
      </c>
      <c r="D16" s="290" t="s">
        <v>668</v>
      </c>
      <c r="E16" s="315">
        <v>350</v>
      </c>
      <c r="F16" s="267"/>
      <c r="G16" s="267"/>
    </row>
    <row r="17" spans="2:8" x14ac:dyDescent="0.2">
      <c r="B17" s="286">
        <v>10</v>
      </c>
      <c r="C17" s="290" t="s">
        <v>594</v>
      </c>
      <c r="D17" s="290" t="s">
        <v>568</v>
      </c>
      <c r="E17" s="315">
        <v>540</v>
      </c>
      <c r="F17" s="267"/>
      <c r="G17" s="267"/>
    </row>
    <row r="18" spans="2:8" x14ac:dyDescent="0.2">
      <c r="B18" s="286">
        <v>11</v>
      </c>
      <c r="C18" s="290" t="s">
        <v>658</v>
      </c>
      <c r="D18" s="290" t="s">
        <v>669</v>
      </c>
      <c r="E18" s="315">
        <v>1000</v>
      </c>
      <c r="F18" s="267"/>
      <c r="G18" s="267"/>
    </row>
    <row r="19" spans="2:8" x14ac:dyDescent="0.2">
      <c r="B19" s="287">
        <v>12</v>
      </c>
      <c r="C19" s="291" t="s">
        <v>659</v>
      </c>
      <c r="D19" s="291" t="s">
        <v>670</v>
      </c>
      <c r="E19" s="316">
        <v>500</v>
      </c>
      <c r="F19" s="267"/>
      <c r="G19" s="267"/>
    </row>
    <row r="20" spans="2:8" ht="16.5" customHeight="1" x14ac:dyDescent="0.25">
      <c r="B20" s="282"/>
      <c r="C20" s="283" t="s">
        <v>9</v>
      </c>
      <c r="D20" s="282"/>
      <c r="E20" s="284">
        <f>SUM(E8:E19)</f>
        <v>15700</v>
      </c>
      <c r="F20" s="267"/>
      <c r="G20" s="268"/>
      <c r="H20" s="84"/>
    </row>
    <row r="21" spans="2:8" x14ac:dyDescent="0.25">
      <c r="B21" s="267"/>
      <c r="C21" s="267"/>
      <c r="D21" s="267"/>
      <c r="E21" s="275"/>
      <c r="F21" s="267"/>
      <c r="G21" s="268"/>
    </row>
    <row r="22" spans="2:8" ht="19.5" customHeight="1" x14ac:dyDescent="0.25">
      <c r="B22" s="271" t="s">
        <v>161</v>
      </c>
      <c r="C22" s="276"/>
      <c r="D22" s="267"/>
      <c r="E22" s="277"/>
      <c r="F22" s="267"/>
      <c r="G22" s="267"/>
    </row>
    <row r="23" spans="2:8" ht="6.75" customHeight="1" x14ac:dyDescent="0.25">
      <c r="B23" s="267"/>
      <c r="C23" s="267"/>
      <c r="D23" s="267"/>
      <c r="E23" s="277"/>
      <c r="F23" s="267"/>
      <c r="G23" s="267"/>
    </row>
    <row r="24" spans="2:8" ht="33" customHeight="1" x14ac:dyDescent="0.25">
      <c r="B24" s="256" t="s">
        <v>151</v>
      </c>
      <c r="C24" s="257" t="s">
        <v>162</v>
      </c>
      <c r="D24" s="257" t="s">
        <v>163</v>
      </c>
      <c r="E24" s="278" t="s">
        <v>463</v>
      </c>
      <c r="F24" s="267"/>
      <c r="G24" s="267"/>
    </row>
    <row r="25" spans="2:8" ht="24.75" customHeight="1" x14ac:dyDescent="0.2">
      <c r="B25" s="279">
        <v>1</v>
      </c>
      <c r="C25" s="266" t="s">
        <v>581</v>
      </c>
      <c r="D25" s="266" t="s">
        <v>672</v>
      </c>
      <c r="E25" s="280">
        <v>500</v>
      </c>
      <c r="F25" s="267"/>
      <c r="G25" s="267"/>
    </row>
    <row r="26" spans="2:8" x14ac:dyDescent="0.2">
      <c r="B26" s="279">
        <v>2</v>
      </c>
      <c r="C26" s="266" t="s">
        <v>673</v>
      </c>
      <c r="D26" s="266" t="s">
        <v>674</v>
      </c>
      <c r="E26" s="280">
        <v>500</v>
      </c>
      <c r="F26" s="267"/>
      <c r="G26" s="267"/>
    </row>
    <row r="27" spans="2:8" ht="25.5" x14ac:dyDescent="0.2">
      <c r="B27" s="279">
        <f t="shared" ref="B27:B75" si="0">B26+1</f>
        <v>3</v>
      </c>
      <c r="C27" s="266" t="s">
        <v>477</v>
      </c>
      <c r="D27" s="293" t="s">
        <v>675</v>
      </c>
      <c r="E27" s="280">
        <v>625</v>
      </c>
      <c r="F27" s="267"/>
      <c r="G27" s="267"/>
    </row>
    <row r="28" spans="2:8" x14ac:dyDescent="0.2">
      <c r="B28" s="279">
        <v>3</v>
      </c>
      <c r="C28" s="266" t="s">
        <v>477</v>
      </c>
      <c r="D28" s="266" t="s">
        <v>676</v>
      </c>
      <c r="E28" s="280">
        <v>625</v>
      </c>
      <c r="F28" s="267"/>
      <c r="G28" s="267"/>
    </row>
    <row r="29" spans="2:8" x14ac:dyDescent="0.2">
      <c r="B29" s="279">
        <v>4</v>
      </c>
      <c r="C29" s="266" t="s">
        <v>574</v>
      </c>
      <c r="D29" s="266" t="s">
        <v>677</v>
      </c>
      <c r="E29" s="280">
        <v>500</v>
      </c>
      <c r="F29" s="267"/>
      <c r="G29" s="267"/>
    </row>
    <row r="30" spans="2:8" x14ac:dyDescent="0.2">
      <c r="B30" s="279">
        <f t="shared" si="0"/>
        <v>5</v>
      </c>
      <c r="C30" s="266" t="s">
        <v>678</v>
      </c>
      <c r="D30" s="266" t="s">
        <v>679</v>
      </c>
      <c r="E30" s="280">
        <v>500</v>
      </c>
      <c r="F30" s="267"/>
      <c r="G30" s="267"/>
    </row>
    <row r="31" spans="2:8" x14ac:dyDescent="0.2">
      <c r="B31" s="279">
        <v>5</v>
      </c>
      <c r="C31" s="266" t="s">
        <v>479</v>
      </c>
      <c r="D31" s="266" t="s">
        <v>680</v>
      </c>
      <c r="E31" s="280">
        <v>500</v>
      </c>
      <c r="F31" s="267"/>
      <c r="G31" s="267"/>
    </row>
    <row r="32" spans="2:8" x14ac:dyDescent="0.2">
      <c r="B32" s="279">
        <v>6</v>
      </c>
      <c r="C32" s="266" t="s">
        <v>641</v>
      </c>
      <c r="D32" s="266" t="s">
        <v>681</v>
      </c>
      <c r="E32" s="280">
        <v>1250</v>
      </c>
      <c r="F32" s="267"/>
      <c r="G32" s="267"/>
    </row>
    <row r="33" spans="2:9" x14ac:dyDescent="0.2">
      <c r="B33" s="279">
        <f t="shared" si="0"/>
        <v>7</v>
      </c>
      <c r="C33" s="266" t="s">
        <v>575</v>
      </c>
      <c r="D33" s="266" t="s">
        <v>682</v>
      </c>
      <c r="E33" s="280">
        <v>500</v>
      </c>
      <c r="F33" s="267"/>
      <c r="G33" s="267"/>
      <c r="H33" s="267"/>
      <c r="I33" s="267"/>
    </row>
    <row r="34" spans="2:9" x14ac:dyDescent="0.2">
      <c r="B34" s="279">
        <v>7</v>
      </c>
      <c r="C34" s="266" t="s">
        <v>573</v>
      </c>
      <c r="D34" s="266" t="s">
        <v>683</v>
      </c>
      <c r="E34" s="280">
        <v>500</v>
      </c>
      <c r="F34" s="267"/>
      <c r="G34" s="267"/>
      <c r="H34" s="267"/>
      <c r="I34" s="267"/>
    </row>
    <row r="35" spans="2:9" ht="25.5" x14ac:dyDescent="0.2">
      <c r="B35" s="279">
        <v>8</v>
      </c>
      <c r="C35" s="293" t="s">
        <v>684</v>
      </c>
      <c r="D35" s="317" t="s">
        <v>685</v>
      </c>
      <c r="E35" s="318">
        <v>1500</v>
      </c>
      <c r="F35" s="267"/>
      <c r="G35" s="267"/>
      <c r="H35" s="267"/>
      <c r="I35" s="267"/>
    </row>
    <row r="36" spans="2:9" x14ac:dyDescent="0.2">
      <c r="B36" s="279">
        <f t="shared" si="0"/>
        <v>9</v>
      </c>
      <c r="C36" s="266" t="s">
        <v>686</v>
      </c>
      <c r="D36" s="266" t="s">
        <v>585</v>
      </c>
      <c r="E36" s="280">
        <v>625</v>
      </c>
    </row>
    <row r="37" spans="2:9" x14ac:dyDescent="0.2">
      <c r="B37" s="279">
        <v>9</v>
      </c>
      <c r="C37" s="266" t="s">
        <v>686</v>
      </c>
      <c r="D37" s="266" t="s">
        <v>687</v>
      </c>
      <c r="E37" s="280">
        <v>625</v>
      </c>
    </row>
    <row r="38" spans="2:9" x14ac:dyDescent="0.2">
      <c r="B38" s="279">
        <v>10</v>
      </c>
      <c r="C38" s="266" t="s">
        <v>688</v>
      </c>
      <c r="D38" s="266" t="s">
        <v>689</v>
      </c>
      <c r="E38" s="280">
        <v>500</v>
      </c>
    </row>
    <row r="39" spans="2:9" x14ac:dyDescent="0.2">
      <c r="B39" s="279">
        <f t="shared" si="0"/>
        <v>11</v>
      </c>
      <c r="C39" s="266" t="s">
        <v>579</v>
      </c>
      <c r="D39" s="266" t="s">
        <v>690</v>
      </c>
      <c r="E39" s="280">
        <v>500</v>
      </c>
      <c r="F39" s="281"/>
    </row>
    <row r="40" spans="2:9" x14ac:dyDescent="0.2">
      <c r="B40" s="279">
        <v>11</v>
      </c>
      <c r="C40" s="266" t="s">
        <v>481</v>
      </c>
      <c r="D40" s="266" t="s">
        <v>691</v>
      </c>
      <c r="E40" s="280">
        <v>625</v>
      </c>
    </row>
    <row r="41" spans="2:9" x14ac:dyDescent="0.2">
      <c r="B41" s="279">
        <v>12</v>
      </c>
      <c r="C41" s="266" t="s">
        <v>692</v>
      </c>
      <c r="D41" s="266" t="s">
        <v>584</v>
      </c>
      <c r="E41" s="280">
        <v>1250</v>
      </c>
    </row>
    <row r="42" spans="2:9" x14ac:dyDescent="0.2">
      <c r="B42" s="279">
        <f t="shared" si="0"/>
        <v>13</v>
      </c>
      <c r="C42" s="266" t="s">
        <v>576</v>
      </c>
      <c r="D42" s="266" t="s">
        <v>693</v>
      </c>
      <c r="E42" s="280">
        <v>625</v>
      </c>
    </row>
    <row r="43" spans="2:9" x14ac:dyDescent="0.2">
      <c r="B43" s="279">
        <v>13</v>
      </c>
      <c r="C43" s="266" t="s">
        <v>694</v>
      </c>
      <c r="D43" s="266" t="s">
        <v>695</v>
      </c>
      <c r="E43" s="280">
        <v>875</v>
      </c>
    </row>
    <row r="44" spans="2:9" x14ac:dyDescent="0.2">
      <c r="B44" s="279">
        <v>14</v>
      </c>
      <c r="C44" s="266" t="s">
        <v>696</v>
      </c>
      <c r="D44" s="266" t="s">
        <v>582</v>
      </c>
      <c r="E44" s="280">
        <v>1250</v>
      </c>
    </row>
    <row r="45" spans="2:9" x14ac:dyDescent="0.2">
      <c r="B45" s="279">
        <f t="shared" si="0"/>
        <v>15</v>
      </c>
      <c r="C45" s="266" t="s">
        <v>696</v>
      </c>
      <c r="D45" s="266" t="s">
        <v>482</v>
      </c>
      <c r="E45" s="280">
        <v>625</v>
      </c>
    </row>
    <row r="46" spans="2:9" x14ac:dyDescent="0.2">
      <c r="B46" s="279">
        <v>15</v>
      </c>
      <c r="C46" s="266" t="s">
        <v>569</v>
      </c>
      <c r="D46" s="266" t="s">
        <v>697</v>
      </c>
      <c r="E46" s="280">
        <v>1250</v>
      </c>
    </row>
    <row r="47" spans="2:9" x14ac:dyDescent="0.2">
      <c r="B47" s="279">
        <v>16</v>
      </c>
      <c r="C47" s="266" t="s">
        <v>569</v>
      </c>
      <c r="D47" s="266" t="s">
        <v>698</v>
      </c>
      <c r="E47" s="280">
        <v>500</v>
      </c>
    </row>
    <row r="48" spans="2:9" x14ac:dyDescent="0.2">
      <c r="B48" s="279">
        <f t="shared" si="0"/>
        <v>17</v>
      </c>
      <c r="C48" s="266" t="s">
        <v>569</v>
      </c>
      <c r="D48" s="266" t="s">
        <v>699</v>
      </c>
      <c r="E48" s="280">
        <v>625</v>
      </c>
    </row>
    <row r="49" spans="2:5" x14ac:dyDescent="0.2">
      <c r="B49" s="279">
        <v>17</v>
      </c>
      <c r="C49" s="266" t="s">
        <v>570</v>
      </c>
      <c r="D49" s="266" t="s">
        <v>700</v>
      </c>
      <c r="E49" s="280">
        <v>500</v>
      </c>
    </row>
    <row r="50" spans="2:5" x14ac:dyDescent="0.2">
      <c r="B50" s="279">
        <v>18</v>
      </c>
      <c r="C50" s="266" t="s">
        <v>701</v>
      </c>
      <c r="D50" s="266" t="s">
        <v>702</v>
      </c>
      <c r="E50" s="280">
        <v>1500</v>
      </c>
    </row>
    <row r="51" spans="2:5" x14ac:dyDescent="0.2">
      <c r="B51" s="279">
        <f t="shared" si="0"/>
        <v>19</v>
      </c>
      <c r="C51" s="266" t="s">
        <v>703</v>
      </c>
      <c r="D51" s="266" t="s">
        <v>704</v>
      </c>
      <c r="E51" s="280">
        <v>500</v>
      </c>
    </row>
    <row r="52" spans="2:5" x14ac:dyDescent="0.2">
      <c r="B52" s="279">
        <v>19</v>
      </c>
      <c r="C52" s="266" t="s">
        <v>572</v>
      </c>
      <c r="D52" s="266" t="s">
        <v>705</v>
      </c>
      <c r="E52" s="280">
        <v>625</v>
      </c>
    </row>
    <row r="53" spans="2:5" x14ac:dyDescent="0.2">
      <c r="B53" s="279">
        <v>20</v>
      </c>
      <c r="C53" s="266" t="s">
        <v>706</v>
      </c>
      <c r="D53" s="266" t="s">
        <v>583</v>
      </c>
      <c r="E53" s="280">
        <v>500</v>
      </c>
    </row>
    <row r="54" spans="2:5" x14ac:dyDescent="0.2">
      <c r="B54" s="279">
        <f t="shared" si="0"/>
        <v>21</v>
      </c>
      <c r="C54" s="266" t="s">
        <v>707</v>
      </c>
      <c r="D54" s="266" t="s">
        <v>708</v>
      </c>
      <c r="E54" s="280">
        <v>500</v>
      </c>
    </row>
    <row r="55" spans="2:5" x14ac:dyDescent="0.2">
      <c r="B55" s="279">
        <v>21</v>
      </c>
      <c r="C55" s="266" t="s">
        <v>709</v>
      </c>
      <c r="D55" s="266" t="s">
        <v>710</v>
      </c>
      <c r="E55" s="280">
        <v>625</v>
      </c>
    </row>
    <row r="56" spans="2:5" ht="38.25" x14ac:dyDescent="0.2">
      <c r="B56" s="279">
        <v>22</v>
      </c>
      <c r="C56" s="317" t="s">
        <v>711</v>
      </c>
      <c r="D56" s="293" t="s">
        <v>712</v>
      </c>
      <c r="E56" s="318">
        <v>500</v>
      </c>
    </row>
    <row r="57" spans="2:5" ht="15.75" customHeight="1" x14ac:dyDescent="0.2">
      <c r="B57" s="279">
        <f t="shared" si="0"/>
        <v>23</v>
      </c>
      <c r="C57" s="266" t="s">
        <v>713</v>
      </c>
      <c r="D57" s="266" t="s">
        <v>714</v>
      </c>
      <c r="E57" s="280">
        <v>500</v>
      </c>
    </row>
    <row r="58" spans="2:5" x14ac:dyDescent="0.2">
      <c r="B58" s="279">
        <v>23</v>
      </c>
      <c r="C58" s="266" t="s">
        <v>715</v>
      </c>
      <c r="D58" s="266" t="s">
        <v>716</v>
      </c>
      <c r="E58" s="280">
        <v>500</v>
      </c>
    </row>
    <row r="59" spans="2:5" x14ac:dyDescent="0.2">
      <c r="B59" s="279">
        <v>24</v>
      </c>
      <c r="C59" s="266" t="s">
        <v>717</v>
      </c>
      <c r="D59" s="266" t="s">
        <v>718</v>
      </c>
      <c r="E59" s="280">
        <v>500</v>
      </c>
    </row>
    <row r="60" spans="2:5" x14ac:dyDescent="0.2">
      <c r="B60" s="279">
        <f t="shared" si="0"/>
        <v>25</v>
      </c>
      <c r="C60" s="266" t="s">
        <v>487</v>
      </c>
      <c r="D60" s="266" t="s">
        <v>719</v>
      </c>
      <c r="E60" s="280">
        <v>625</v>
      </c>
    </row>
    <row r="61" spans="2:5" x14ac:dyDescent="0.2">
      <c r="B61" s="279">
        <v>25</v>
      </c>
      <c r="C61" s="266" t="s">
        <v>720</v>
      </c>
      <c r="D61" s="266" t="s">
        <v>721</v>
      </c>
      <c r="E61" s="280">
        <v>500</v>
      </c>
    </row>
    <row r="62" spans="2:5" x14ac:dyDescent="0.2">
      <c r="B62" s="279">
        <v>26</v>
      </c>
      <c r="C62" s="266" t="s">
        <v>722</v>
      </c>
      <c r="D62" s="266" t="s">
        <v>723</v>
      </c>
      <c r="E62" s="280">
        <v>560</v>
      </c>
    </row>
    <row r="63" spans="2:5" x14ac:dyDescent="0.2">
      <c r="B63" s="279">
        <f t="shared" si="0"/>
        <v>27</v>
      </c>
      <c r="C63" s="266" t="s">
        <v>577</v>
      </c>
      <c r="D63" s="266" t="s">
        <v>724</v>
      </c>
      <c r="E63" s="280">
        <v>500</v>
      </c>
    </row>
    <row r="64" spans="2:5" x14ac:dyDescent="0.2">
      <c r="B64" s="279">
        <v>27</v>
      </c>
      <c r="C64" s="266" t="s">
        <v>483</v>
      </c>
      <c r="D64" s="266" t="s">
        <v>725</v>
      </c>
      <c r="E64" s="280">
        <v>625</v>
      </c>
    </row>
    <row r="65" spans="2:7" x14ac:dyDescent="0.2">
      <c r="B65" s="279">
        <v>28</v>
      </c>
      <c r="C65" s="266" t="s">
        <v>571</v>
      </c>
      <c r="D65" s="266" t="s">
        <v>726</v>
      </c>
      <c r="E65" s="280">
        <v>625</v>
      </c>
    </row>
    <row r="66" spans="2:7" x14ac:dyDescent="0.2">
      <c r="B66" s="279">
        <f t="shared" si="0"/>
        <v>29</v>
      </c>
      <c r="C66" s="266" t="s">
        <v>580</v>
      </c>
      <c r="D66" s="266" t="s">
        <v>727</v>
      </c>
      <c r="E66" s="280">
        <v>750</v>
      </c>
      <c r="G66" s="84"/>
    </row>
    <row r="67" spans="2:7" x14ac:dyDescent="0.2">
      <c r="B67" s="279">
        <v>29</v>
      </c>
      <c r="C67" s="266" t="s">
        <v>580</v>
      </c>
      <c r="D67" s="266" t="s">
        <v>480</v>
      </c>
      <c r="E67" s="280">
        <v>600</v>
      </c>
    </row>
    <row r="68" spans="2:7" x14ac:dyDescent="0.2">
      <c r="B68" s="279">
        <v>30</v>
      </c>
      <c r="C68" s="266" t="s">
        <v>580</v>
      </c>
      <c r="D68" s="266" t="s">
        <v>728</v>
      </c>
      <c r="E68" s="280">
        <v>150</v>
      </c>
    </row>
    <row r="69" spans="2:7" x14ac:dyDescent="0.2">
      <c r="B69" s="279">
        <f t="shared" si="0"/>
        <v>31</v>
      </c>
      <c r="C69" s="266" t="s">
        <v>729</v>
      </c>
      <c r="D69" s="266" t="s">
        <v>730</v>
      </c>
      <c r="E69" s="280">
        <v>500</v>
      </c>
    </row>
    <row r="70" spans="2:7" x14ac:dyDescent="0.2">
      <c r="B70" s="279">
        <v>31</v>
      </c>
      <c r="C70" s="266" t="s">
        <v>486</v>
      </c>
      <c r="D70" s="266" t="s">
        <v>731</v>
      </c>
      <c r="E70" s="280">
        <v>875</v>
      </c>
    </row>
    <row r="71" spans="2:7" x14ac:dyDescent="0.2">
      <c r="B71" s="279">
        <v>32</v>
      </c>
      <c r="C71" s="266" t="s">
        <v>486</v>
      </c>
      <c r="D71" s="266" t="s">
        <v>732</v>
      </c>
      <c r="E71" s="280">
        <v>500</v>
      </c>
    </row>
    <row r="72" spans="2:7" x14ac:dyDescent="0.2">
      <c r="B72" s="279">
        <f t="shared" si="0"/>
        <v>33</v>
      </c>
      <c r="C72" s="266" t="s">
        <v>733</v>
      </c>
      <c r="D72" s="266" t="s">
        <v>734</v>
      </c>
      <c r="E72" s="280">
        <v>1000</v>
      </c>
    </row>
    <row r="73" spans="2:7" x14ac:dyDescent="0.2">
      <c r="B73" s="279">
        <v>33</v>
      </c>
      <c r="C73" s="266" t="s">
        <v>564</v>
      </c>
      <c r="D73" s="266" t="s">
        <v>735</v>
      </c>
      <c r="E73" s="280">
        <v>625</v>
      </c>
    </row>
    <row r="74" spans="2:7" x14ac:dyDescent="0.2">
      <c r="B74" s="279">
        <v>34</v>
      </c>
      <c r="C74" s="266" t="s">
        <v>736</v>
      </c>
      <c r="D74" s="266" t="s">
        <v>737</v>
      </c>
      <c r="E74" s="280">
        <v>1125</v>
      </c>
    </row>
    <row r="75" spans="2:7" x14ac:dyDescent="0.2">
      <c r="B75" s="288">
        <f t="shared" si="0"/>
        <v>35</v>
      </c>
      <c r="C75" s="272" t="s">
        <v>738</v>
      </c>
      <c r="D75" s="272" t="s">
        <v>739</v>
      </c>
      <c r="E75" s="273">
        <v>500</v>
      </c>
    </row>
    <row r="76" spans="2:7" x14ac:dyDescent="0.25">
      <c r="B76" s="282"/>
      <c r="C76" s="283" t="s">
        <v>9</v>
      </c>
      <c r="D76" s="282"/>
      <c r="E76" s="284">
        <f>SUM(E25:E75)</f>
        <v>34185</v>
      </c>
      <c r="G76" s="277"/>
    </row>
  </sheetData>
  <mergeCells count="2">
    <mergeCell ref="B3:E3"/>
    <mergeCell ref="B5:C5"/>
  </mergeCells>
  <pageMargins left="0.70866141732283472" right="0.62992125984251968" top="0.19685039370078741" bottom="0.19685039370078741" header="0.51181102362204722" footer="0.51181102362204722"/>
  <pageSetup paperSize="9" scale="90" fitToWidth="0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K71"/>
  <sheetViews>
    <sheetView workbookViewId="0"/>
  </sheetViews>
  <sheetFormatPr defaultRowHeight="14.25" x14ac:dyDescent="0.2"/>
  <cols>
    <col min="1" max="1" width="9.140625" style="1"/>
    <col min="2" max="2" width="6.5703125" style="1" customWidth="1"/>
    <col min="3" max="3" width="43.42578125" style="1" customWidth="1"/>
    <col min="4" max="4" width="60.28515625" style="1" customWidth="1"/>
    <col min="5" max="5" width="12.7109375" style="305" customWidth="1"/>
    <col min="6" max="8" width="9.140625" style="1"/>
    <col min="9" max="9" width="10.42578125" style="1" bestFit="1" customWidth="1"/>
    <col min="10" max="16384" width="9.140625" style="1"/>
  </cols>
  <sheetData>
    <row r="1" spans="2:11" x14ac:dyDescent="0.2">
      <c r="B1" s="294"/>
      <c r="C1" s="294"/>
      <c r="D1" s="600" t="s">
        <v>164</v>
      </c>
      <c r="E1" s="601"/>
    </row>
    <row r="2" spans="2:11" ht="18" x14ac:dyDescent="0.25">
      <c r="B2" s="602" t="s">
        <v>740</v>
      </c>
      <c r="C2" s="602"/>
      <c r="D2" s="602"/>
      <c r="E2" s="601"/>
    </row>
    <row r="3" spans="2:11" x14ac:dyDescent="0.2">
      <c r="B3" s="294"/>
      <c r="C3" s="294"/>
      <c r="D3" s="294"/>
      <c r="E3" s="295"/>
    </row>
    <row r="4" spans="2:11" ht="27" customHeight="1" x14ac:dyDescent="0.2">
      <c r="B4" s="296" t="s">
        <v>151</v>
      </c>
      <c r="C4" s="297" t="s">
        <v>165</v>
      </c>
      <c r="D4" s="297" t="s">
        <v>163</v>
      </c>
      <c r="E4" s="298" t="s">
        <v>463</v>
      </c>
      <c r="F4" s="299"/>
      <c r="G4" s="595"/>
      <c r="H4" s="595"/>
      <c r="I4" s="595"/>
      <c r="J4" s="595"/>
      <c r="K4" s="595"/>
    </row>
    <row r="5" spans="2:11" ht="17.25" customHeight="1" x14ac:dyDescent="0.2">
      <c r="B5" s="292">
        <v>1</v>
      </c>
      <c r="C5" s="266" t="s">
        <v>741</v>
      </c>
      <c r="D5" s="266" t="s">
        <v>493</v>
      </c>
      <c r="E5" s="280">
        <v>1700</v>
      </c>
      <c r="F5" s="299"/>
    </row>
    <row r="6" spans="2:11" x14ac:dyDescent="0.2">
      <c r="B6" s="292">
        <v>2</v>
      </c>
      <c r="C6" s="266" t="s">
        <v>742</v>
      </c>
      <c r="D6" s="266" t="s">
        <v>778</v>
      </c>
      <c r="E6" s="280">
        <v>500</v>
      </c>
    </row>
    <row r="7" spans="2:11" x14ac:dyDescent="0.2">
      <c r="B7" s="292">
        <v>3</v>
      </c>
      <c r="C7" s="266" t="s">
        <v>743</v>
      </c>
      <c r="D7" s="266" t="s">
        <v>779</v>
      </c>
      <c r="E7" s="280">
        <v>2700</v>
      </c>
    </row>
    <row r="8" spans="2:11" x14ac:dyDescent="0.2">
      <c r="B8" s="292">
        <v>4</v>
      </c>
      <c r="C8" s="266" t="s">
        <v>487</v>
      </c>
      <c r="D8" s="266" t="s">
        <v>780</v>
      </c>
      <c r="E8" s="280">
        <v>500</v>
      </c>
    </row>
    <row r="9" spans="2:11" ht="15" customHeight="1" x14ac:dyDescent="0.2">
      <c r="B9" s="292">
        <v>5</v>
      </c>
      <c r="C9" s="266" t="s">
        <v>744</v>
      </c>
      <c r="D9" s="266" t="s">
        <v>781</v>
      </c>
      <c r="E9" s="280">
        <v>1100</v>
      </c>
    </row>
    <row r="10" spans="2:11" x14ac:dyDescent="0.2">
      <c r="B10" s="292">
        <v>6</v>
      </c>
      <c r="C10" s="266" t="s">
        <v>495</v>
      </c>
      <c r="D10" s="266" t="s">
        <v>782</v>
      </c>
      <c r="E10" s="280">
        <v>500</v>
      </c>
    </row>
    <row r="11" spans="2:11" x14ac:dyDescent="0.2">
      <c r="B11" s="292">
        <v>7</v>
      </c>
      <c r="C11" s="266" t="s">
        <v>492</v>
      </c>
      <c r="D11" s="266" t="s">
        <v>783</v>
      </c>
      <c r="E11" s="280">
        <v>1700</v>
      </c>
    </row>
    <row r="12" spans="2:11" x14ac:dyDescent="0.2">
      <c r="B12" s="292">
        <v>8</v>
      </c>
      <c r="C12" s="266" t="s">
        <v>745</v>
      </c>
      <c r="D12" s="266" t="s">
        <v>784</v>
      </c>
      <c r="E12" s="280">
        <v>700</v>
      </c>
    </row>
    <row r="13" spans="2:11" ht="25.5" x14ac:dyDescent="0.2">
      <c r="B13" s="292">
        <v>9</v>
      </c>
      <c r="C13" s="317" t="s">
        <v>586</v>
      </c>
      <c r="D13" s="293" t="s">
        <v>599</v>
      </c>
      <c r="E13" s="280">
        <v>800</v>
      </c>
    </row>
    <row r="14" spans="2:11" x14ac:dyDescent="0.2">
      <c r="B14" s="292">
        <v>10</v>
      </c>
      <c r="C14" s="266" t="s">
        <v>498</v>
      </c>
      <c r="D14" s="266" t="s">
        <v>785</v>
      </c>
      <c r="E14" s="280">
        <v>1000</v>
      </c>
    </row>
    <row r="15" spans="2:11" ht="25.5" x14ac:dyDescent="0.2">
      <c r="B15" s="292">
        <v>11</v>
      </c>
      <c r="C15" s="293" t="s">
        <v>746</v>
      </c>
      <c r="D15" s="266" t="s">
        <v>786</v>
      </c>
      <c r="E15" s="280">
        <v>1500</v>
      </c>
    </row>
    <row r="16" spans="2:11" ht="25.5" x14ac:dyDescent="0.2">
      <c r="B16" s="292">
        <v>12</v>
      </c>
      <c r="C16" s="293" t="s">
        <v>746</v>
      </c>
      <c r="D16" s="266" t="s">
        <v>787</v>
      </c>
      <c r="E16" s="280">
        <v>500</v>
      </c>
    </row>
    <row r="17" spans="2:5" x14ac:dyDescent="0.2">
      <c r="B17" s="292">
        <v>13</v>
      </c>
      <c r="C17" s="266" t="s">
        <v>592</v>
      </c>
      <c r="D17" s="266" t="s">
        <v>597</v>
      </c>
      <c r="E17" s="280">
        <v>500</v>
      </c>
    </row>
    <row r="18" spans="2:5" ht="15" customHeight="1" x14ac:dyDescent="0.2">
      <c r="B18" s="292">
        <v>14</v>
      </c>
      <c r="C18" s="266" t="s">
        <v>747</v>
      </c>
      <c r="D18" s="266" t="s">
        <v>788</v>
      </c>
      <c r="E18" s="280">
        <v>1000</v>
      </c>
    </row>
    <row r="19" spans="2:5" x14ac:dyDescent="0.2">
      <c r="B19" s="292">
        <v>15</v>
      </c>
      <c r="C19" s="266" t="s">
        <v>590</v>
      </c>
      <c r="D19" s="266" t="s">
        <v>789</v>
      </c>
      <c r="E19" s="280">
        <v>800</v>
      </c>
    </row>
    <row r="20" spans="2:5" x14ac:dyDescent="0.2">
      <c r="B20" s="292">
        <v>16</v>
      </c>
      <c r="C20" s="266" t="s">
        <v>745</v>
      </c>
      <c r="D20" s="266" t="s">
        <v>790</v>
      </c>
      <c r="E20" s="280">
        <v>800</v>
      </c>
    </row>
    <row r="21" spans="2:5" ht="13.5" customHeight="1" x14ac:dyDescent="0.2">
      <c r="B21" s="292">
        <v>17</v>
      </c>
      <c r="C21" s="266" t="s">
        <v>748</v>
      </c>
      <c r="D21" s="266" t="s">
        <v>791</v>
      </c>
      <c r="E21" s="280">
        <v>1500</v>
      </c>
    </row>
    <row r="22" spans="2:5" x14ac:dyDescent="0.2">
      <c r="B22" s="292">
        <v>18</v>
      </c>
      <c r="C22" s="266" t="s">
        <v>749</v>
      </c>
      <c r="D22" s="266" t="s">
        <v>792</v>
      </c>
      <c r="E22" s="280">
        <v>400</v>
      </c>
    </row>
    <row r="23" spans="2:5" ht="13.5" customHeight="1" x14ac:dyDescent="0.2">
      <c r="B23" s="292">
        <v>19</v>
      </c>
      <c r="C23" s="266" t="s">
        <v>590</v>
      </c>
      <c r="D23" s="266" t="s">
        <v>793</v>
      </c>
      <c r="E23" s="280">
        <v>2000</v>
      </c>
    </row>
    <row r="24" spans="2:5" x14ac:dyDescent="0.2">
      <c r="B24" s="292">
        <v>20</v>
      </c>
      <c r="C24" s="266" t="s">
        <v>750</v>
      </c>
      <c r="D24" s="266" t="s">
        <v>794</v>
      </c>
      <c r="E24" s="280">
        <v>300</v>
      </c>
    </row>
    <row r="25" spans="2:5" x14ac:dyDescent="0.2">
      <c r="B25" s="292">
        <v>21</v>
      </c>
      <c r="C25" s="266" t="s">
        <v>593</v>
      </c>
      <c r="D25" s="266" t="s">
        <v>795</v>
      </c>
      <c r="E25" s="280">
        <v>300</v>
      </c>
    </row>
    <row r="26" spans="2:5" x14ac:dyDescent="0.2">
      <c r="B26" s="292">
        <v>22</v>
      </c>
      <c r="C26" s="266" t="s">
        <v>593</v>
      </c>
      <c r="D26" s="266" t="s">
        <v>598</v>
      </c>
      <c r="E26" s="280">
        <v>200</v>
      </c>
    </row>
    <row r="27" spans="2:5" x14ac:dyDescent="0.2">
      <c r="B27" s="292">
        <v>23</v>
      </c>
      <c r="C27" s="266" t="s">
        <v>589</v>
      </c>
      <c r="D27" s="266" t="s">
        <v>796</v>
      </c>
      <c r="E27" s="280">
        <v>1000</v>
      </c>
    </row>
    <row r="28" spans="2:5" ht="15" customHeight="1" x14ac:dyDescent="0.2">
      <c r="B28" s="292">
        <v>24</v>
      </c>
      <c r="C28" s="266" t="s">
        <v>589</v>
      </c>
      <c r="D28" s="266" t="s">
        <v>1032</v>
      </c>
      <c r="E28" s="280">
        <v>1500</v>
      </c>
    </row>
    <row r="29" spans="2:5" ht="15" customHeight="1" x14ac:dyDescent="0.2">
      <c r="B29" s="292">
        <v>25</v>
      </c>
      <c r="C29" s="266" t="s">
        <v>751</v>
      </c>
      <c r="D29" s="266" t="s">
        <v>797</v>
      </c>
      <c r="E29" s="280">
        <v>500</v>
      </c>
    </row>
    <row r="30" spans="2:5" ht="15.75" customHeight="1" x14ac:dyDescent="0.2">
      <c r="B30" s="292">
        <v>26</v>
      </c>
      <c r="C30" s="266" t="s">
        <v>586</v>
      </c>
      <c r="D30" s="266" t="s">
        <v>798</v>
      </c>
      <c r="E30" s="280">
        <v>300</v>
      </c>
    </row>
    <row r="31" spans="2:5" x14ac:dyDescent="0.2">
      <c r="B31" s="292">
        <v>27</v>
      </c>
      <c r="C31" s="266" t="s">
        <v>752</v>
      </c>
      <c r="D31" s="266" t="s">
        <v>799</v>
      </c>
      <c r="E31" s="280">
        <v>300</v>
      </c>
    </row>
    <row r="32" spans="2:5" x14ac:dyDescent="0.2">
      <c r="B32" s="292">
        <v>28</v>
      </c>
      <c r="C32" s="266" t="s">
        <v>496</v>
      </c>
      <c r="D32" s="266" t="s">
        <v>800</v>
      </c>
      <c r="E32" s="280">
        <v>800</v>
      </c>
    </row>
    <row r="33" spans="2:9" x14ac:dyDescent="0.2">
      <c r="B33" s="292">
        <v>29</v>
      </c>
      <c r="C33" s="266" t="s">
        <v>554</v>
      </c>
      <c r="D33" s="266" t="s">
        <v>801</v>
      </c>
      <c r="E33" s="280">
        <v>1000</v>
      </c>
    </row>
    <row r="34" spans="2:9" ht="25.5" x14ac:dyDescent="0.2">
      <c r="B34" s="292">
        <v>30</v>
      </c>
      <c r="C34" s="293" t="s">
        <v>753</v>
      </c>
      <c r="D34" s="266" t="s">
        <v>802</v>
      </c>
      <c r="E34" s="280">
        <v>700</v>
      </c>
    </row>
    <row r="35" spans="2:9" x14ac:dyDescent="0.2">
      <c r="B35" s="292">
        <v>31</v>
      </c>
      <c r="C35" s="266" t="s">
        <v>754</v>
      </c>
      <c r="D35" s="266" t="s">
        <v>803</v>
      </c>
      <c r="E35" s="280">
        <v>400</v>
      </c>
    </row>
    <row r="36" spans="2:9" x14ac:dyDescent="0.2">
      <c r="B36" s="292">
        <v>32</v>
      </c>
      <c r="C36" s="266" t="s">
        <v>755</v>
      </c>
      <c r="D36" s="266" t="s">
        <v>804</v>
      </c>
      <c r="E36" s="280">
        <v>1000</v>
      </c>
    </row>
    <row r="37" spans="2:9" x14ac:dyDescent="0.2">
      <c r="B37" s="292">
        <v>33</v>
      </c>
      <c r="C37" s="266" t="s">
        <v>756</v>
      </c>
      <c r="D37" s="266" t="s">
        <v>805</v>
      </c>
      <c r="E37" s="280">
        <v>1000</v>
      </c>
      <c r="I37" s="300"/>
    </row>
    <row r="38" spans="2:9" x14ac:dyDescent="0.2">
      <c r="B38" s="292">
        <v>34</v>
      </c>
      <c r="C38" s="266" t="s">
        <v>497</v>
      </c>
      <c r="D38" s="266" t="s">
        <v>806</v>
      </c>
      <c r="E38" s="280">
        <v>700</v>
      </c>
    </row>
    <row r="39" spans="2:9" x14ac:dyDescent="0.2">
      <c r="B39" s="292">
        <v>35</v>
      </c>
      <c r="C39" s="266" t="s">
        <v>757</v>
      </c>
      <c r="D39" s="266" t="s">
        <v>807</v>
      </c>
      <c r="E39" s="280">
        <v>500</v>
      </c>
    </row>
    <row r="40" spans="2:9" x14ac:dyDescent="0.2">
      <c r="B40" s="292">
        <v>36</v>
      </c>
      <c r="C40" s="266" t="s">
        <v>758</v>
      </c>
      <c r="D40" s="266" t="s">
        <v>808</v>
      </c>
      <c r="E40" s="280">
        <v>300</v>
      </c>
    </row>
    <row r="41" spans="2:9" x14ac:dyDescent="0.2">
      <c r="B41" s="292">
        <v>37</v>
      </c>
      <c r="C41" s="266" t="s">
        <v>759</v>
      </c>
      <c r="D41" s="266" t="s">
        <v>809</v>
      </c>
      <c r="E41" s="280">
        <v>1000</v>
      </c>
    </row>
    <row r="42" spans="2:9" x14ac:dyDescent="0.2">
      <c r="B42" s="292">
        <v>38</v>
      </c>
      <c r="C42" s="266" t="s">
        <v>760</v>
      </c>
      <c r="D42" s="266" t="s">
        <v>810</v>
      </c>
      <c r="E42" s="280">
        <v>700</v>
      </c>
      <c r="F42" s="301"/>
    </row>
    <row r="43" spans="2:9" x14ac:dyDescent="0.2">
      <c r="B43" s="292">
        <v>39</v>
      </c>
      <c r="C43" s="266" t="s">
        <v>761</v>
      </c>
      <c r="D43" s="266" t="s">
        <v>811</v>
      </c>
      <c r="E43" s="280">
        <v>400</v>
      </c>
      <c r="F43" s="301"/>
    </row>
    <row r="44" spans="2:9" x14ac:dyDescent="0.2">
      <c r="B44" s="292">
        <v>40</v>
      </c>
      <c r="C44" s="266" t="s">
        <v>762</v>
      </c>
      <c r="D44" s="266" t="s">
        <v>812</v>
      </c>
      <c r="E44" s="280">
        <v>1000</v>
      </c>
      <c r="F44" s="301"/>
    </row>
    <row r="45" spans="2:9" x14ac:dyDescent="0.2">
      <c r="B45" s="292">
        <v>41</v>
      </c>
      <c r="C45" s="266" t="s">
        <v>763</v>
      </c>
      <c r="D45" s="266" t="s">
        <v>813</v>
      </c>
      <c r="E45" s="280">
        <v>1000</v>
      </c>
      <c r="F45" s="301"/>
    </row>
    <row r="46" spans="2:9" x14ac:dyDescent="0.2">
      <c r="B46" s="292">
        <v>42</v>
      </c>
      <c r="C46" s="266" t="s">
        <v>764</v>
      </c>
      <c r="D46" s="266" t="s">
        <v>814</v>
      </c>
      <c r="E46" s="280">
        <v>2000</v>
      </c>
      <c r="F46" s="301"/>
    </row>
    <row r="47" spans="2:9" x14ac:dyDescent="0.2">
      <c r="B47" s="292">
        <v>43</v>
      </c>
      <c r="C47" s="266" t="s">
        <v>591</v>
      </c>
      <c r="D47" s="266" t="s">
        <v>815</v>
      </c>
      <c r="E47" s="280">
        <v>300</v>
      </c>
    </row>
    <row r="48" spans="2:9" x14ac:dyDescent="0.2">
      <c r="B48" s="292">
        <v>44</v>
      </c>
      <c r="C48" s="266" t="s">
        <v>587</v>
      </c>
      <c r="D48" s="266" t="s">
        <v>816</v>
      </c>
      <c r="E48" s="280">
        <v>500</v>
      </c>
    </row>
    <row r="49" spans="2:5" x14ac:dyDescent="0.2">
      <c r="B49" s="292">
        <v>45</v>
      </c>
      <c r="C49" s="266" t="s">
        <v>765</v>
      </c>
      <c r="D49" s="266" t="s">
        <v>817</v>
      </c>
      <c r="E49" s="280">
        <v>200</v>
      </c>
    </row>
    <row r="50" spans="2:5" x14ac:dyDescent="0.2">
      <c r="B50" s="292">
        <v>46</v>
      </c>
      <c r="C50" s="266" t="s">
        <v>765</v>
      </c>
      <c r="D50" s="266" t="s">
        <v>818</v>
      </c>
      <c r="E50" s="280">
        <v>300</v>
      </c>
    </row>
    <row r="51" spans="2:5" x14ac:dyDescent="0.2">
      <c r="B51" s="292">
        <v>47</v>
      </c>
      <c r="C51" s="266" t="s">
        <v>766</v>
      </c>
      <c r="D51" s="266" t="s">
        <v>819</v>
      </c>
      <c r="E51" s="280">
        <v>300</v>
      </c>
    </row>
    <row r="52" spans="2:5" x14ac:dyDescent="0.2">
      <c r="B52" s="292">
        <v>48</v>
      </c>
      <c r="C52" s="266" t="s">
        <v>767</v>
      </c>
      <c r="D52" s="266" t="s">
        <v>820</v>
      </c>
      <c r="E52" s="280">
        <v>200</v>
      </c>
    </row>
    <row r="53" spans="2:5" x14ac:dyDescent="0.2">
      <c r="B53" s="292">
        <v>49</v>
      </c>
      <c r="C53" s="266" t="s">
        <v>768</v>
      </c>
      <c r="D53" s="266" t="s">
        <v>821</v>
      </c>
      <c r="E53" s="280">
        <v>300</v>
      </c>
    </row>
    <row r="54" spans="2:5" x14ac:dyDescent="0.2">
      <c r="B54" s="292">
        <v>50</v>
      </c>
      <c r="C54" s="266" t="s">
        <v>768</v>
      </c>
      <c r="D54" s="266" t="s">
        <v>822</v>
      </c>
      <c r="E54" s="280">
        <v>300</v>
      </c>
    </row>
    <row r="55" spans="2:5" x14ac:dyDescent="0.2">
      <c r="B55" s="292">
        <v>51</v>
      </c>
      <c r="C55" s="266" t="s">
        <v>769</v>
      </c>
      <c r="D55" s="266" t="s">
        <v>823</v>
      </c>
      <c r="E55" s="280">
        <v>400</v>
      </c>
    </row>
    <row r="56" spans="2:5" x14ac:dyDescent="0.2">
      <c r="B56" s="292">
        <v>52</v>
      </c>
      <c r="C56" s="266" t="s">
        <v>759</v>
      </c>
      <c r="D56" s="266" t="s">
        <v>824</v>
      </c>
      <c r="E56" s="280">
        <v>700</v>
      </c>
    </row>
    <row r="57" spans="2:5" x14ac:dyDescent="0.2">
      <c r="B57" s="292">
        <v>53</v>
      </c>
      <c r="C57" s="266" t="s">
        <v>770</v>
      </c>
      <c r="D57" s="266" t="s">
        <v>825</v>
      </c>
      <c r="E57" s="280">
        <v>800</v>
      </c>
    </row>
    <row r="58" spans="2:5" x14ac:dyDescent="0.2">
      <c r="B58" s="292">
        <v>54</v>
      </c>
      <c r="C58" s="266" t="s">
        <v>766</v>
      </c>
      <c r="D58" s="266" t="s">
        <v>826</v>
      </c>
      <c r="E58" s="280">
        <v>300</v>
      </c>
    </row>
    <row r="59" spans="2:5" x14ac:dyDescent="0.2">
      <c r="B59" s="292">
        <v>55</v>
      </c>
      <c r="C59" s="266" t="s">
        <v>771</v>
      </c>
      <c r="D59" s="266" t="s">
        <v>827</v>
      </c>
      <c r="E59" s="280">
        <v>1200</v>
      </c>
    </row>
    <row r="60" spans="2:5" x14ac:dyDescent="0.2">
      <c r="B60" s="292">
        <v>56</v>
      </c>
      <c r="C60" s="266" t="s">
        <v>772</v>
      </c>
      <c r="D60" s="266" t="s">
        <v>828</v>
      </c>
      <c r="E60" s="280">
        <v>500</v>
      </c>
    </row>
    <row r="61" spans="2:5" x14ac:dyDescent="0.2">
      <c r="B61" s="292">
        <v>57</v>
      </c>
      <c r="C61" s="266" t="s">
        <v>595</v>
      </c>
      <c r="D61" s="266" t="s">
        <v>829</v>
      </c>
      <c r="E61" s="280">
        <v>800</v>
      </c>
    </row>
    <row r="62" spans="2:5" x14ac:dyDescent="0.2">
      <c r="B62" s="292">
        <v>58</v>
      </c>
      <c r="C62" s="266" t="s">
        <v>773</v>
      </c>
      <c r="D62" s="266" t="s">
        <v>830</v>
      </c>
      <c r="E62" s="280">
        <v>1000</v>
      </c>
    </row>
    <row r="63" spans="2:5" x14ac:dyDescent="0.2">
      <c r="B63" s="292">
        <v>59</v>
      </c>
      <c r="C63" s="266" t="s">
        <v>774</v>
      </c>
      <c r="D63" s="266" t="s">
        <v>831</v>
      </c>
      <c r="E63" s="280">
        <v>2300</v>
      </c>
    </row>
    <row r="64" spans="2:5" x14ac:dyDescent="0.2">
      <c r="B64" s="292">
        <v>60</v>
      </c>
      <c r="C64" s="266" t="s">
        <v>775</v>
      </c>
      <c r="D64" s="266" t="s">
        <v>832</v>
      </c>
      <c r="E64" s="280">
        <v>500</v>
      </c>
    </row>
    <row r="65" spans="2:8" x14ac:dyDescent="0.2">
      <c r="B65" s="292">
        <v>61</v>
      </c>
      <c r="C65" s="266" t="s">
        <v>594</v>
      </c>
      <c r="D65" s="266" t="s">
        <v>833</v>
      </c>
      <c r="E65" s="280">
        <v>3000</v>
      </c>
    </row>
    <row r="66" spans="2:8" x14ac:dyDescent="0.2">
      <c r="B66" s="292">
        <v>62</v>
      </c>
      <c r="C66" s="266" t="s">
        <v>596</v>
      </c>
      <c r="D66" s="266" t="s">
        <v>834</v>
      </c>
      <c r="E66" s="280">
        <v>2000</v>
      </c>
    </row>
    <row r="67" spans="2:8" x14ac:dyDescent="0.2">
      <c r="B67" s="292">
        <v>63</v>
      </c>
      <c r="C67" s="266" t="s">
        <v>776</v>
      </c>
      <c r="D67" s="266" t="s">
        <v>835</v>
      </c>
      <c r="E67" s="280">
        <v>300</v>
      </c>
    </row>
    <row r="68" spans="2:8" x14ac:dyDescent="0.2">
      <c r="B68" s="292">
        <v>64</v>
      </c>
      <c r="C68" s="266" t="s">
        <v>777</v>
      </c>
      <c r="D68" s="266" t="s">
        <v>836</v>
      </c>
      <c r="E68" s="280">
        <v>500</v>
      </c>
    </row>
    <row r="69" spans="2:8" s="8" customFormat="1" ht="28.5" customHeight="1" x14ac:dyDescent="0.25">
      <c r="B69" s="302"/>
      <c r="C69" s="302" t="s">
        <v>9</v>
      </c>
      <c r="D69" s="303"/>
      <c r="E69" s="303">
        <f>SUM(E5:E68)</f>
        <v>53800</v>
      </c>
      <c r="G69" s="277"/>
      <c r="H69" s="84"/>
    </row>
    <row r="70" spans="2:8" x14ac:dyDescent="0.2">
      <c r="C70" s="304"/>
    </row>
    <row r="71" spans="2:8" x14ac:dyDescent="0.2">
      <c r="C71" s="304"/>
    </row>
  </sheetData>
  <mergeCells count="3">
    <mergeCell ref="G4:K4"/>
    <mergeCell ref="D1:E1"/>
    <mergeCell ref="B2:E2"/>
  </mergeCells>
  <pageMargins left="0.11811023622047245" right="0.19685039370078741" top="0.27559055118110237" bottom="7.874015748031496E-2" header="0.15748031496062992" footer="0.31496062992125984"/>
  <pageSetup paperSize="9" scale="78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G37"/>
  <sheetViews>
    <sheetView workbookViewId="0"/>
  </sheetViews>
  <sheetFormatPr defaultRowHeight="14.25" x14ac:dyDescent="0.2"/>
  <cols>
    <col min="1" max="1" width="9.140625" style="1" customWidth="1"/>
    <col min="2" max="2" width="6.28515625" style="1" customWidth="1"/>
    <col min="3" max="3" width="63.28515625" style="1" customWidth="1"/>
    <col min="4" max="4" width="42.140625" style="1" customWidth="1"/>
    <col min="5" max="5" width="12.42578125" style="305" customWidth="1"/>
    <col min="6" max="16384" width="9.140625" style="1"/>
  </cols>
  <sheetData>
    <row r="2" spans="2:5" x14ac:dyDescent="0.2">
      <c r="E2" s="77" t="s">
        <v>166</v>
      </c>
    </row>
    <row r="3" spans="2:5" x14ac:dyDescent="0.2">
      <c r="B3" s="306"/>
    </row>
    <row r="4" spans="2:5" ht="19.5" x14ac:dyDescent="0.3">
      <c r="B4" s="603" t="s">
        <v>600</v>
      </c>
      <c r="C4" s="603"/>
      <c r="D4" s="603"/>
      <c r="E4" s="603"/>
    </row>
    <row r="5" spans="2:5" x14ac:dyDescent="0.2">
      <c r="E5" s="307"/>
    </row>
    <row r="6" spans="2:5" ht="25.5" x14ac:dyDescent="0.2">
      <c r="B6" s="296" t="s">
        <v>151</v>
      </c>
      <c r="C6" s="297" t="s">
        <v>165</v>
      </c>
      <c r="D6" s="297" t="s">
        <v>163</v>
      </c>
      <c r="E6" s="298" t="s">
        <v>463</v>
      </c>
    </row>
    <row r="7" spans="2:5" ht="51" x14ac:dyDescent="0.2">
      <c r="B7" s="308">
        <v>1</v>
      </c>
      <c r="C7" s="311" t="s">
        <v>837</v>
      </c>
      <c r="D7" s="312" t="s">
        <v>838</v>
      </c>
      <c r="E7" s="313">
        <v>1000</v>
      </c>
    </row>
    <row r="8" spans="2:5" x14ac:dyDescent="0.2">
      <c r="B8" s="308">
        <v>2</v>
      </c>
      <c r="C8" s="290" t="s">
        <v>839</v>
      </c>
      <c r="D8" s="290" t="s">
        <v>840</v>
      </c>
      <c r="E8" s="313">
        <v>300</v>
      </c>
    </row>
    <row r="9" spans="2:5" x14ac:dyDescent="0.2">
      <c r="B9" s="308">
        <v>3</v>
      </c>
      <c r="C9" s="290" t="s">
        <v>841</v>
      </c>
      <c r="D9" s="290" t="s">
        <v>842</v>
      </c>
      <c r="E9" s="313">
        <v>1300</v>
      </c>
    </row>
    <row r="10" spans="2:5" x14ac:dyDescent="0.2">
      <c r="B10" s="308">
        <v>4</v>
      </c>
      <c r="C10" s="290" t="s">
        <v>843</v>
      </c>
      <c r="D10" s="290" t="s">
        <v>844</v>
      </c>
      <c r="E10" s="313">
        <v>700</v>
      </c>
    </row>
    <row r="11" spans="2:5" x14ac:dyDescent="0.2">
      <c r="B11" s="308">
        <v>5</v>
      </c>
      <c r="C11" s="290" t="s">
        <v>845</v>
      </c>
      <c r="D11" s="290" t="s">
        <v>846</v>
      </c>
      <c r="E11" s="313">
        <v>400</v>
      </c>
    </row>
    <row r="12" spans="2:5" x14ac:dyDescent="0.2">
      <c r="B12" s="308">
        <v>6</v>
      </c>
      <c r="C12" s="290" t="s">
        <v>500</v>
      </c>
      <c r="D12" s="290" t="s">
        <v>847</v>
      </c>
      <c r="E12" s="313">
        <v>1400</v>
      </c>
    </row>
    <row r="13" spans="2:5" x14ac:dyDescent="0.2">
      <c r="B13" s="308">
        <v>7</v>
      </c>
      <c r="C13" s="290" t="s">
        <v>848</v>
      </c>
      <c r="D13" s="290" t="s">
        <v>849</v>
      </c>
      <c r="E13" s="313">
        <v>850</v>
      </c>
    </row>
    <row r="14" spans="2:5" x14ac:dyDescent="0.2">
      <c r="B14" s="308">
        <v>8</v>
      </c>
      <c r="C14" s="290" t="s">
        <v>850</v>
      </c>
      <c r="D14" s="290" t="s">
        <v>851</v>
      </c>
      <c r="E14" s="313">
        <v>900</v>
      </c>
    </row>
    <row r="15" spans="2:5" x14ac:dyDescent="0.2">
      <c r="B15" s="308">
        <v>9</v>
      </c>
      <c r="C15" s="290" t="s">
        <v>852</v>
      </c>
      <c r="D15" s="290" t="s">
        <v>853</v>
      </c>
      <c r="E15" s="313">
        <v>900</v>
      </c>
    </row>
    <row r="16" spans="2:5" x14ac:dyDescent="0.2">
      <c r="B16" s="308">
        <v>10</v>
      </c>
      <c r="C16" s="290" t="s">
        <v>565</v>
      </c>
      <c r="D16" s="290" t="s">
        <v>854</v>
      </c>
      <c r="E16" s="313">
        <v>1200</v>
      </c>
    </row>
    <row r="17" spans="2:5" x14ac:dyDescent="0.2">
      <c r="B17" s="308">
        <v>11</v>
      </c>
      <c r="C17" s="290" t="s">
        <v>566</v>
      </c>
      <c r="D17" s="290" t="s">
        <v>855</v>
      </c>
      <c r="E17" s="313">
        <v>1843</v>
      </c>
    </row>
    <row r="18" spans="2:5" x14ac:dyDescent="0.2">
      <c r="B18" s="308">
        <v>12</v>
      </c>
      <c r="C18" s="290" t="s">
        <v>601</v>
      </c>
      <c r="D18" s="290" t="s">
        <v>856</v>
      </c>
      <c r="E18" s="313">
        <v>1400</v>
      </c>
    </row>
    <row r="19" spans="2:5" x14ac:dyDescent="0.2">
      <c r="B19" s="308">
        <v>13</v>
      </c>
      <c r="C19" s="290" t="s">
        <v>857</v>
      </c>
      <c r="D19" s="290" t="s">
        <v>858</v>
      </c>
      <c r="E19" s="313">
        <v>570</v>
      </c>
    </row>
    <row r="20" spans="2:5" x14ac:dyDescent="0.2">
      <c r="B20" s="308">
        <v>14</v>
      </c>
      <c r="C20" s="290" t="s">
        <v>502</v>
      </c>
      <c r="D20" s="290" t="s">
        <v>859</v>
      </c>
      <c r="E20" s="313">
        <v>1300</v>
      </c>
    </row>
    <row r="21" spans="2:5" x14ac:dyDescent="0.2">
      <c r="B21" s="308">
        <v>15</v>
      </c>
      <c r="C21" s="290" t="s">
        <v>860</v>
      </c>
      <c r="D21" s="290" t="s">
        <v>861</v>
      </c>
      <c r="E21" s="313">
        <v>1300</v>
      </c>
    </row>
    <row r="22" spans="2:5" x14ac:dyDescent="0.2">
      <c r="B22" s="308">
        <v>16</v>
      </c>
      <c r="C22" s="290" t="s">
        <v>862</v>
      </c>
      <c r="D22" s="290" t="s">
        <v>863</v>
      </c>
      <c r="E22" s="313">
        <v>400</v>
      </c>
    </row>
    <row r="23" spans="2:5" x14ac:dyDescent="0.2">
      <c r="B23" s="308">
        <v>17</v>
      </c>
      <c r="C23" s="290" t="s">
        <v>864</v>
      </c>
      <c r="D23" s="290" t="s">
        <v>865</v>
      </c>
      <c r="E23" s="313">
        <v>400</v>
      </c>
    </row>
    <row r="24" spans="2:5" x14ac:dyDescent="0.2">
      <c r="B24" s="308">
        <v>18</v>
      </c>
      <c r="C24" s="290" t="s">
        <v>866</v>
      </c>
      <c r="D24" s="290" t="s">
        <v>867</v>
      </c>
      <c r="E24" s="313">
        <v>300</v>
      </c>
    </row>
    <row r="25" spans="2:5" x14ac:dyDescent="0.2">
      <c r="B25" s="308">
        <v>19</v>
      </c>
      <c r="C25" s="290" t="s">
        <v>868</v>
      </c>
      <c r="D25" s="290" t="s">
        <v>603</v>
      </c>
      <c r="E25" s="313">
        <v>1100</v>
      </c>
    </row>
    <row r="26" spans="2:5" x14ac:dyDescent="0.2">
      <c r="B26" s="308">
        <v>20</v>
      </c>
      <c r="C26" s="290" t="s">
        <v>484</v>
      </c>
      <c r="D26" s="290" t="s">
        <v>869</v>
      </c>
      <c r="E26" s="313">
        <v>300</v>
      </c>
    </row>
    <row r="27" spans="2:5" x14ac:dyDescent="0.2">
      <c r="B27" s="308">
        <v>21</v>
      </c>
      <c r="C27" s="290" t="s">
        <v>870</v>
      </c>
      <c r="D27" s="290" t="s">
        <v>871</v>
      </c>
      <c r="E27" s="313">
        <v>300</v>
      </c>
    </row>
    <row r="28" spans="2:5" x14ac:dyDescent="0.2">
      <c r="B28" s="308">
        <v>22</v>
      </c>
      <c r="C28" s="290" t="s">
        <v>872</v>
      </c>
      <c r="D28" s="290" t="s">
        <v>873</v>
      </c>
      <c r="E28" s="313">
        <v>2000</v>
      </c>
    </row>
    <row r="29" spans="2:5" x14ac:dyDescent="0.2">
      <c r="B29" s="308">
        <v>23</v>
      </c>
      <c r="C29" s="290" t="s">
        <v>874</v>
      </c>
      <c r="D29" s="290" t="s">
        <v>875</v>
      </c>
      <c r="E29" s="313">
        <v>1300</v>
      </c>
    </row>
    <row r="30" spans="2:5" x14ac:dyDescent="0.2">
      <c r="B30" s="308">
        <v>24</v>
      </c>
      <c r="C30" s="290" t="s">
        <v>876</v>
      </c>
      <c r="D30" s="290" t="s">
        <v>877</v>
      </c>
      <c r="E30" s="313">
        <v>2500</v>
      </c>
    </row>
    <row r="31" spans="2:5" x14ac:dyDescent="0.2">
      <c r="B31" s="308">
        <v>25</v>
      </c>
      <c r="C31" s="290" t="s">
        <v>878</v>
      </c>
      <c r="D31" s="290" t="s">
        <v>879</v>
      </c>
      <c r="E31" s="313">
        <v>2000</v>
      </c>
    </row>
    <row r="32" spans="2:5" x14ac:dyDescent="0.2">
      <c r="B32" s="308">
        <v>26</v>
      </c>
      <c r="C32" s="290" t="s">
        <v>880</v>
      </c>
      <c r="D32" s="290" t="s">
        <v>881</v>
      </c>
      <c r="E32" s="313">
        <v>900</v>
      </c>
    </row>
    <row r="33" spans="2:7" ht="25.5" x14ac:dyDescent="0.2">
      <c r="B33" s="308">
        <v>27</v>
      </c>
      <c r="C33" s="312" t="s">
        <v>882</v>
      </c>
      <c r="D33" s="290"/>
      <c r="E33" s="313">
        <v>1200</v>
      </c>
    </row>
    <row r="34" spans="2:7" x14ac:dyDescent="0.2">
      <c r="B34" s="308">
        <v>28</v>
      </c>
      <c r="C34" s="290" t="s">
        <v>494</v>
      </c>
      <c r="D34" s="290" t="s">
        <v>883</v>
      </c>
      <c r="E34" s="313">
        <v>1650</v>
      </c>
    </row>
    <row r="35" spans="2:7" x14ac:dyDescent="0.2">
      <c r="B35" s="308">
        <v>29</v>
      </c>
      <c r="C35" s="290" t="s">
        <v>602</v>
      </c>
      <c r="D35" s="290" t="s">
        <v>884</v>
      </c>
      <c r="E35" s="313">
        <v>3000</v>
      </c>
    </row>
    <row r="36" spans="2:7" ht="25.5" x14ac:dyDescent="0.2">
      <c r="B36" s="308">
        <v>30</v>
      </c>
      <c r="C36" s="312" t="s">
        <v>885</v>
      </c>
      <c r="D36" s="290" t="s">
        <v>886</v>
      </c>
      <c r="E36" s="313">
        <v>1500</v>
      </c>
    </row>
    <row r="37" spans="2:7" x14ac:dyDescent="0.2">
      <c r="B37" s="309"/>
      <c r="C37" s="309" t="s">
        <v>9</v>
      </c>
      <c r="D37" s="310"/>
      <c r="E37" s="310">
        <f>SUM(E7:E36)</f>
        <v>34213</v>
      </c>
      <c r="G37" s="305"/>
    </row>
  </sheetData>
  <mergeCells count="1">
    <mergeCell ref="B4:E4"/>
  </mergeCells>
  <pageMargins left="0.19685039370078741" right="0.15748031496062992" top="0.23622047244094491" bottom="0.39370078740157483" header="0.27559055118110237" footer="0.51181102362204722"/>
  <pageSetup paperSize="9" scale="90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E25"/>
  <sheetViews>
    <sheetView workbookViewId="0"/>
  </sheetViews>
  <sheetFormatPr defaultColWidth="9.140625" defaultRowHeight="14.25" x14ac:dyDescent="0.2"/>
  <cols>
    <col min="1" max="1" width="9.140625" style="1"/>
    <col min="2" max="2" width="6" style="1" customWidth="1"/>
    <col min="3" max="3" width="41.28515625" style="1" customWidth="1"/>
    <col min="4" max="4" width="62.5703125" style="1" customWidth="1"/>
    <col min="5" max="5" width="13" style="327" customWidth="1"/>
    <col min="6" max="16384" width="9.140625" style="1"/>
  </cols>
  <sheetData>
    <row r="1" spans="2:5" x14ac:dyDescent="0.2">
      <c r="B1" s="322"/>
      <c r="C1" s="322"/>
      <c r="D1" s="322"/>
      <c r="E1" s="323"/>
    </row>
    <row r="2" spans="2:5" x14ac:dyDescent="0.2">
      <c r="B2" s="322"/>
      <c r="C2" s="322"/>
      <c r="D2" s="322"/>
      <c r="E2" s="323"/>
    </row>
    <row r="3" spans="2:5" x14ac:dyDescent="0.2">
      <c r="B3" s="322"/>
      <c r="C3" s="322"/>
      <c r="D3" s="322"/>
      <c r="E3" s="324" t="s">
        <v>167</v>
      </c>
    </row>
    <row r="4" spans="2:5" x14ac:dyDescent="0.2">
      <c r="B4" s="322"/>
      <c r="C4" s="322"/>
      <c r="D4" s="322"/>
      <c r="E4" s="323"/>
    </row>
    <row r="5" spans="2:5" ht="19.5" x14ac:dyDescent="0.2">
      <c r="B5" s="604" t="s">
        <v>912</v>
      </c>
      <c r="C5" s="604"/>
      <c r="D5" s="604"/>
      <c r="E5" s="604"/>
    </row>
    <row r="6" spans="2:5" x14ac:dyDescent="0.2">
      <c r="B6" s="325"/>
      <c r="C6" s="322"/>
      <c r="D6" s="322"/>
      <c r="E6" s="326"/>
    </row>
    <row r="9" spans="2:5" ht="25.5" x14ac:dyDescent="0.2">
      <c r="B9" s="328" t="s">
        <v>151</v>
      </c>
      <c r="C9" s="329" t="s">
        <v>162</v>
      </c>
      <c r="D9" s="329" t="s">
        <v>163</v>
      </c>
      <c r="E9" s="278" t="s">
        <v>463</v>
      </c>
    </row>
    <row r="10" spans="2:5" x14ac:dyDescent="0.2">
      <c r="B10" s="330">
        <v>1</v>
      </c>
      <c r="C10" s="290" t="s">
        <v>887</v>
      </c>
      <c r="D10" s="290" t="s">
        <v>897</v>
      </c>
      <c r="E10" s="315">
        <v>300</v>
      </c>
    </row>
    <row r="11" spans="2:5" x14ac:dyDescent="0.2">
      <c r="B11" s="330">
        <v>2</v>
      </c>
      <c r="C11" s="290" t="s">
        <v>888</v>
      </c>
      <c r="D11" s="290" t="s">
        <v>898</v>
      </c>
      <c r="E11" s="315">
        <v>700</v>
      </c>
    </row>
    <row r="12" spans="2:5" x14ac:dyDescent="0.2">
      <c r="B12" s="330">
        <v>3</v>
      </c>
      <c r="C12" s="290" t="s">
        <v>889</v>
      </c>
      <c r="D12" s="290" t="s">
        <v>899</v>
      </c>
      <c r="E12" s="315">
        <v>1100</v>
      </c>
    </row>
    <row r="13" spans="2:5" x14ac:dyDescent="0.2">
      <c r="B13" s="330">
        <v>4</v>
      </c>
      <c r="C13" s="290" t="s">
        <v>722</v>
      </c>
      <c r="D13" s="290" t="s">
        <v>900</v>
      </c>
      <c r="E13" s="315">
        <v>1200</v>
      </c>
    </row>
    <row r="14" spans="2:5" x14ac:dyDescent="0.2">
      <c r="B14" s="330">
        <v>5</v>
      </c>
      <c r="C14" s="290" t="s">
        <v>890</v>
      </c>
      <c r="D14" s="290" t="s">
        <v>901</v>
      </c>
      <c r="E14" s="315">
        <v>800</v>
      </c>
    </row>
    <row r="15" spans="2:5" x14ac:dyDescent="0.2">
      <c r="B15" s="330">
        <v>6</v>
      </c>
      <c r="C15" s="290" t="s">
        <v>891</v>
      </c>
      <c r="D15" s="290" t="s">
        <v>902</v>
      </c>
      <c r="E15" s="315">
        <v>1600</v>
      </c>
    </row>
    <row r="16" spans="2:5" x14ac:dyDescent="0.2">
      <c r="B16" s="330">
        <v>7</v>
      </c>
      <c r="C16" s="290" t="s">
        <v>892</v>
      </c>
      <c r="D16" s="290" t="s">
        <v>903</v>
      </c>
      <c r="E16" s="315">
        <v>1700</v>
      </c>
    </row>
    <row r="17" spans="2:5" x14ac:dyDescent="0.2">
      <c r="B17" s="330">
        <v>8</v>
      </c>
      <c r="C17" s="290" t="s">
        <v>604</v>
      </c>
      <c r="D17" s="290" t="s">
        <v>904</v>
      </c>
      <c r="E17" s="315">
        <v>600</v>
      </c>
    </row>
    <row r="18" spans="2:5" x14ac:dyDescent="0.2">
      <c r="B18" s="330">
        <v>9</v>
      </c>
      <c r="C18" s="290" t="s">
        <v>604</v>
      </c>
      <c r="D18" s="290" t="s">
        <v>905</v>
      </c>
      <c r="E18" s="315">
        <v>600</v>
      </c>
    </row>
    <row r="19" spans="2:5" x14ac:dyDescent="0.2">
      <c r="B19" s="330">
        <v>10</v>
      </c>
      <c r="C19" s="290" t="s">
        <v>893</v>
      </c>
      <c r="D19" s="290" t="s">
        <v>906</v>
      </c>
      <c r="E19" s="315">
        <v>490</v>
      </c>
    </row>
    <row r="20" spans="2:5" x14ac:dyDescent="0.2">
      <c r="B20" s="330">
        <v>11</v>
      </c>
      <c r="C20" s="290" t="s">
        <v>894</v>
      </c>
      <c r="D20" s="290" t="s">
        <v>907</v>
      </c>
      <c r="E20" s="315">
        <v>1000</v>
      </c>
    </row>
    <row r="21" spans="2:5" x14ac:dyDescent="0.2">
      <c r="B21" s="330">
        <v>12</v>
      </c>
      <c r="C21" s="290" t="s">
        <v>566</v>
      </c>
      <c r="D21" s="290" t="s">
        <v>908</v>
      </c>
      <c r="E21" s="315">
        <v>1910</v>
      </c>
    </row>
    <row r="22" spans="2:5" x14ac:dyDescent="0.2">
      <c r="B22" s="330">
        <v>13</v>
      </c>
      <c r="C22" s="290" t="s">
        <v>895</v>
      </c>
      <c r="D22" s="290" t="s">
        <v>909</v>
      </c>
      <c r="E22" s="315">
        <v>500</v>
      </c>
    </row>
    <row r="23" spans="2:5" x14ac:dyDescent="0.2">
      <c r="B23" s="330">
        <v>14</v>
      </c>
      <c r="C23" s="290" t="s">
        <v>896</v>
      </c>
      <c r="D23" s="290" t="s">
        <v>910</v>
      </c>
      <c r="E23" s="315">
        <v>1000</v>
      </c>
    </row>
    <row r="24" spans="2:5" x14ac:dyDescent="0.2">
      <c r="B24" s="330">
        <v>15</v>
      </c>
      <c r="C24" s="320" t="s">
        <v>894</v>
      </c>
      <c r="D24" s="320" t="s">
        <v>911</v>
      </c>
      <c r="E24" s="321">
        <v>300</v>
      </c>
    </row>
    <row r="25" spans="2:5" x14ac:dyDescent="0.2">
      <c r="B25" s="331"/>
      <c r="C25" s="605" t="s">
        <v>9</v>
      </c>
      <c r="D25" s="605"/>
      <c r="E25" s="332">
        <f>SUM(E10:E24)</f>
        <v>13800</v>
      </c>
    </row>
  </sheetData>
  <mergeCells count="2">
    <mergeCell ref="B5:E5"/>
    <mergeCell ref="C25:D25"/>
  </mergeCells>
  <phoneticPr fontId="22" type="noConversion"/>
  <pageMargins left="0.78740157480314965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G31"/>
  <sheetViews>
    <sheetView workbookViewId="0"/>
  </sheetViews>
  <sheetFormatPr defaultRowHeight="14.25" x14ac:dyDescent="0.2"/>
  <cols>
    <col min="1" max="1" width="9.140625" style="1" customWidth="1"/>
    <col min="2" max="2" width="6" style="1" customWidth="1"/>
    <col min="3" max="3" width="33.7109375" style="1" customWidth="1"/>
    <col min="4" max="4" width="41.28515625" style="1" customWidth="1"/>
    <col min="5" max="5" width="11.7109375" style="327" customWidth="1"/>
    <col min="6" max="16384" width="9.140625" style="1"/>
  </cols>
  <sheetData>
    <row r="1" spans="2:5" x14ac:dyDescent="0.2">
      <c r="B1" s="322"/>
      <c r="C1" s="322"/>
      <c r="D1" s="322"/>
      <c r="E1" s="323"/>
    </row>
    <row r="2" spans="2:5" x14ac:dyDescent="0.2">
      <c r="B2" s="322"/>
      <c r="C2" s="322"/>
      <c r="D2" s="322"/>
      <c r="E2" s="323"/>
    </row>
    <row r="3" spans="2:5" x14ac:dyDescent="0.2">
      <c r="B3" s="322"/>
      <c r="C3" s="322"/>
      <c r="D3" s="322"/>
      <c r="E3" s="324" t="s">
        <v>169</v>
      </c>
    </row>
    <row r="4" spans="2:5" x14ac:dyDescent="0.2">
      <c r="B4" s="322"/>
      <c r="C4" s="322"/>
      <c r="D4" s="322"/>
      <c r="E4" s="323"/>
    </row>
    <row r="5" spans="2:5" ht="19.5" x14ac:dyDescent="0.2">
      <c r="B5" s="604" t="s">
        <v>925</v>
      </c>
      <c r="C5" s="604"/>
      <c r="D5" s="604"/>
      <c r="E5" s="604"/>
    </row>
    <row r="6" spans="2:5" x14ac:dyDescent="0.2">
      <c r="B6" s="325"/>
      <c r="C6" s="322"/>
      <c r="D6" s="322"/>
      <c r="E6" s="326"/>
    </row>
    <row r="7" spans="2:5" ht="25.5" x14ac:dyDescent="0.2">
      <c r="B7" s="342" t="s">
        <v>151</v>
      </c>
      <c r="C7" s="329" t="s">
        <v>168</v>
      </c>
      <c r="D7" s="329" t="s">
        <v>163</v>
      </c>
      <c r="E7" s="278" t="s">
        <v>463</v>
      </c>
    </row>
    <row r="8" spans="2:5" x14ac:dyDescent="0.2">
      <c r="B8" s="333">
        <v>1</v>
      </c>
      <c r="C8" s="266" t="s">
        <v>499</v>
      </c>
      <c r="D8" s="343" t="s">
        <v>917</v>
      </c>
      <c r="E8" s="280">
        <v>877</v>
      </c>
    </row>
    <row r="9" spans="2:5" s="8" customFormat="1" x14ac:dyDescent="0.2">
      <c r="B9" s="333">
        <v>2</v>
      </c>
      <c r="C9" s="266" t="s">
        <v>913</v>
      </c>
      <c r="D9" s="343" t="s">
        <v>918</v>
      </c>
      <c r="E9" s="280">
        <v>2000</v>
      </c>
    </row>
    <row r="10" spans="2:5" s="8" customFormat="1" x14ac:dyDescent="0.2">
      <c r="B10" s="333">
        <v>4</v>
      </c>
      <c r="C10" s="266" t="s">
        <v>914</v>
      </c>
      <c r="D10" s="343" t="s">
        <v>919</v>
      </c>
      <c r="E10" s="280">
        <v>1000</v>
      </c>
    </row>
    <row r="11" spans="2:5" ht="13.5" customHeight="1" x14ac:dyDescent="0.2">
      <c r="B11" s="333">
        <v>5</v>
      </c>
      <c r="C11" s="266" t="s">
        <v>888</v>
      </c>
      <c r="D11" s="343" t="s">
        <v>606</v>
      </c>
      <c r="E11" s="280">
        <v>652</v>
      </c>
    </row>
    <row r="12" spans="2:5" ht="14.25" customHeight="1" x14ac:dyDescent="0.2">
      <c r="B12" s="333">
        <v>6</v>
      </c>
      <c r="C12" s="266" t="s">
        <v>605</v>
      </c>
      <c r="D12" s="343" t="s">
        <v>920</v>
      </c>
      <c r="E12" s="280">
        <v>388</v>
      </c>
    </row>
    <row r="13" spans="2:5" ht="13.5" customHeight="1" x14ac:dyDescent="0.2">
      <c r="B13" s="333">
        <v>7</v>
      </c>
      <c r="C13" s="266" t="s">
        <v>501</v>
      </c>
      <c r="D13" s="343" t="s">
        <v>921</v>
      </c>
      <c r="E13" s="280">
        <v>1000</v>
      </c>
    </row>
    <row r="14" spans="2:5" ht="13.5" customHeight="1" x14ac:dyDescent="0.2">
      <c r="B14" s="333">
        <v>8</v>
      </c>
      <c r="C14" s="266" t="s">
        <v>915</v>
      </c>
      <c r="D14" s="343" t="s">
        <v>922</v>
      </c>
      <c r="E14" s="280">
        <v>1000</v>
      </c>
    </row>
    <row r="15" spans="2:5" ht="13.5" customHeight="1" x14ac:dyDescent="0.2">
      <c r="B15" s="333">
        <v>9</v>
      </c>
      <c r="C15" s="266" t="s">
        <v>706</v>
      </c>
      <c r="D15" s="343" t="s">
        <v>923</v>
      </c>
      <c r="E15" s="280">
        <v>490</v>
      </c>
    </row>
    <row r="16" spans="2:5" ht="12.75" customHeight="1" x14ac:dyDescent="0.2">
      <c r="B16" s="333">
        <v>10</v>
      </c>
      <c r="C16" s="266" t="s">
        <v>916</v>
      </c>
      <c r="D16" s="343" t="s">
        <v>924</v>
      </c>
      <c r="E16" s="280">
        <v>1591</v>
      </c>
    </row>
    <row r="17" spans="2:7" x14ac:dyDescent="0.2">
      <c r="B17" s="331"/>
      <c r="C17" s="605" t="s">
        <v>9</v>
      </c>
      <c r="D17" s="605"/>
      <c r="E17" s="332">
        <f>SUM(E8:E16)</f>
        <v>8998</v>
      </c>
      <c r="G17" s="4"/>
    </row>
    <row r="18" spans="2:7" x14ac:dyDescent="0.2">
      <c r="B18" s="334"/>
      <c r="C18" s="334"/>
      <c r="D18" s="334"/>
      <c r="E18" s="335"/>
    </row>
    <row r="19" spans="2:7" x14ac:dyDescent="0.2">
      <c r="B19" s="322"/>
      <c r="C19" s="336"/>
      <c r="D19" s="336"/>
      <c r="E19" s="337"/>
    </row>
    <row r="20" spans="2:7" x14ac:dyDescent="0.2">
      <c r="B20" s="338"/>
      <c r="C20" s="338"/>
      <c r="D20" s="338"/>
      <c r="E20" s="339"/>
    </row>
    <row r="21" spans="2:7" x14ac:dyDescent="0.2">
      <c r="B21" s="322"/>
      <c r="C21" s="338"/>
      <c r="D21" s="338"/>
      <c r="E21" s="339"/>
    </row>
    <row r="22" spans="2:7" x14ac:dyDescent="0.2">
      <c r="B22" s="340"/>
      <c r="C22" s="340"/>
      <c r="D22" s="340"/>
      <c r="E22" s="341"/>
    </row>
    <row r="23" spans="2:7" x14ac:dyDescent="0.2">
      <c r="B23" s="340"/>
      <c r="C23" s="340"/>
      <c r="D23" s="340"/>
      <c r="E23" s="341"/>
    </row>
    <row r="24" spans="2:7" x14ac:dyDescent="0.2">
      <c r="B24" s="340"/>
      <c r="C24" s="340"/>
      <c r="D24" s="340"/>
      <c r="E24" s="341"/>
    </row>
    <row r="25" spans="2:7" x14ac:dyDescent="0.2">
      <c r="B25" s="340"/>
      <c r="C25" s="340"/>
      <c r="D25" s="340"/>
      <c r="E25" s="341"/>
    </row>
    <row r="26" spans="2:7" x14ac:dyDescent="0.2">
      <c r="B26" s="340"/>
      <c r="C26" s="340"/>
      <c r="D26" s="340"/>
      <c r="E26" s="341"/>
    </row>
    <row r="27" spans="2:7" x14ac:dyDescent="0.2">
      <c r="B27" s="340"/>
      <c r="C27" s="340"/>
      <c r="D27" s="340"/>
      <c r="E27" s="341"/>
    </row>
    <row r="28" spans="2:7" x14ac:dyDescent="0.2">
      <c r="B28" s="340"/>
      <c r="C28" s="340"/>
      <c r="D28" s="340"/>
      <c r="E28" s="341"/>
    </row>
    <row r="29" spans="2:7" x14ac:dyDescent="0.2">
      <c r="B29" s="340"/>
      <c r="C29" s="340"/>
      <c r="D29" s="340"/>
      <c r="E29" s="341"/>
    </row>
    <row r="30" spans="2:7" x14ac:dyDescent="0.2">
      <c r="B30" s="340"/>
      <c r="C30" s="340"/>
      <c r="D30" s="340"/>
      <c r="E30" s="341"/>
    </row>
    <row r="31" spans="2:7" x14ac:dyDescent="0.2">
      <c r="B31" s="340"/>
      <c r="C31" s="340"/>
      <c r="D31" s="340"/>
      <c r="E31" s="341"/>
    </row>
  </sheetData>
  <mergeCells count="2">
    <mergeCell ref="B5:E5"/>
    <mergeCell ref="C17:D17"/>
  </mergeCells>
  <pageMargins left="0.39370078740157483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G23"/>
  <sheetViews>
    <sheetView workbookViewId="0"/>
  </sheetViews>
  <sheetFormatPr defaultRowHeight="14.25" x14ac:dyDescent="0.2"/>
  <cols>
    <col min="1" max="1" width="3.5703125" style="1" customWidth="1"/>
    <col min="2" max="2" width="42.85546875" style="1" customWidth="1"/>
    <col min="3" max="3" width="14.5703125" style="1" customWidth="1"/>
    <col min="4" max="4" width="13.28515625" style="1" customWidth="1"/>
    <col min="5" max="5" width="13.140625" style="1" customWidth="1"/>
    <col min="6" max="6" width="9.140625" style="1" customWidth="1"/>
    <col min="7" max="16384" width="9.140625" style="1"/>
  </cols>
  <sheetData>
    <row r="1" spans="2:7" x14ac:dyDescent="0.2">
      <c r="E1" s="77" t="s">
        <v>170</v>
      </c>
    </row>
    <row r="2" spans="2:7" x14ac:dyDescent="0.2">
      <c r="B2" s="35"/>
      <c r="C2" s="36"/>
      <c r="D2" s="36"/>
      <c r="F2" s="36"/>
      <c r="G2" s="36"/>
    </row>
    <row r="3" spans="2:7" ht="18" x14ac:dyDescent="0.25">
      <c r="B3" s="571" t="s">
        <v>622</v>
      </c>
      <c r="C3" s="571"/>
      <c r="D3" s="571"/>
      <c r="E3" s="571"/>
      <c r="F3" s="36"/>
      <c r="G3" s="36"/>
    </row>
    <row r="4" spans="2:7" x14ac:dyDescent="0.2">
      <c r="B4" s="35"/>
      <c r="C4" s="36"/>
      <c r="D4" s="36"/>
      <c r="E4" s="36"/>
      <c r="F4" s="36"/>
      <c r="G4" s="36"/>
    </row>
    <row r="5" spans="2:7" x14ac:dyDescent="0.2">
      <c r="B5" s="585" t="s">
        <v>21</v>
      </c>
      <c r="C5" s="607" t="s">
        <v>620</v>
      </c>
      <c r="D5" s="607" t="s">
        <v>557</v>
      </c>
      <c r="E5" s="38" t="s">
        <v>171</v>
      </c>
      <c r="F5" s="36"/>
      <c r="G5" s="35"/>
    </row>
    <row r="6" spans="2:7" x14ac:dyDescent="0.2">
      <c r="B6" s="606"/>
      <c r="C6" s="608"/>
      <c r="D6" s="608"/>
      <c r="E6" s="39" t="s">
        <v>172</v>
      </c>
      <c r="F6" s="36"/>
      <c r="G6" s="35"/>
    </row>
    <row r="7" spans="2:7" ht="13.5" customHeight="1" x14ac:dyDescent="0.2">
      <c r="B7" s="552" t="s">
        <v>173</v>
      </c>
      <c r="C7" s="40">
        <v>975671.3</v>
      </c>
      <c r="D7" s="40">
        <v>1187382.71</v>
      </c>
      <c r="E7" s="26">
        <f t="shared" ref="E7:E20" si="0">C7-D7</f>
        <v>-211711.40999999992</v>
      </c>
      <c r="F7" s="36"/>
      <c r="G7" s="35"/>
    </row>
    <row r="8" spans="2:7" ht="14.25" customHeight="1" x14ac:dyDescent="0.2">
      <c r="B8" s="552" t="s">
        <v>174</v>
      </c>
      <c r="C8" s="40">
        <v>19511.03</v>
      </c>
      <c r="D8" s="40">
        <v>22836.2</v>
      </c>
      <c r="E8" s="26">
        <f t="shared" si="0"/>
        <v>-3325.1700000000019</v>
      </c>
      <c r="F8" s="36"/>
      <c r="G8" s="35"/>
    </row>
    <row r="9" spans="2:7" ht="17.25" customHeight="1" x14ac:dyDescent="0.2">
      <c r="B9" s="553" t="s">
        <v>175</v>
      </c>
      <c r="C9" s="41">
        <v>39.51</v>
      </c>
      <c r="D9" s="41">
        <v>39.51</v>
      </c>
      <c r="E9" s="42">
        <f t="shared" si="0"/>
        <v>0</v>
      </c>
      <c r="F9" s="36"/>
      <c r="G9" s="35"/>
    </row>
    <row r="10" spans="2:7" x14ac:dyDescent="0.2">
      <c r="B10" s="552" t="s">
        <v>176</v>
      </c>
      <c r="C10" s="40">
        <v>5194.78</v>
      </c>
      <c r="D10" s="40">
        <v>4438.08</v>
      </c>
      <c r="E10" s="26">
        <f t="shared" si="0"/>
        <v>756.69999999999982</v>
      </c>
      <c r="F10" s="36"/>
      <c r="G10" s="35"/>
    </row>
    <row r="11" spans="2:7" x14ac:dyDescent="0.2">
      <c r="B11" s="552" t="s">
        <v>177</v>
      </c>
      <c r="C11" s="40">
        <v>45068.1</v>
      </c>
      <c r="D11" s="40">
        <v>23512.1</v>
      </c>
      <c r="E11" s="26">
        <f t="shared" si="0"/>
        <v>21556</v>
      </c>
      <c r="F11" s="36"/>
      <c r="G11" s="35"/>
    </row>
    <row r="12" spans="2:7" ht="15" customHeight="1" x14ac:dyDescent="0.2">
      <c r="B12" s="552" t="s">
        <v>178</v>
      </c>
      <c r="C12" s="40">
        <v>1883708.07</v>
      </c>
      <c r="D12" s="40">
        <v>1790660.86</v>
      </c>
      <c r="E12" s="26">
        <f t="shared" si="0"/>
        <v>93047.209999999963</v>
      </c>
      <c r="F12" s="36"/>
      <c r="G12" s="35"/>
    </row>
    <row r="13" spans="2:7" ht="14.25" customHeight="1" x14ac:dyDescent="0.2">
      <c r="B13" s="552" t="s">
        <v>179</v>
      </c>
      <c r="C13" s="40">
        <v>13988.18</v>
      </c>
      <c r="D13" s="40">
        <v>548021.81999999995</v>
      </c>
      <c r="E13" s="26">
        <f t="shared" si="0"/>
        <v>-534033.6399999999</v>
      </c>
      <c r="F13" s="36"/>
      <c r="G13" s="35"/>
    </row>
    <row r="14" spans="2:7" x14ac:dyDescent="0.2">
      <c r="B14" s="553" t="s">
        <v>180</v>
      </c>
      <c r="C14" s="41">
        <v>65252.27</v>
      </c>
      <c r="D14" s="41">
        <v>44685.21</v>
      </c>
      <c r="E14" s="42">
        <f t="shared" si="0"/>
        <v>20567.059999999998</v>
      </c>
      <c r="F14" s="36"/>
      <c r="G14" s="35"/>
    </row>
    <row r="15" spans="2:7" ht="13.5" customHeight="1" x14ac:dyDescent="0.2">
      <c r="B15" s="552" t="s">
        <v>181</v>
      </c>
      <c r="C15" s="40">
        <v>53711.17</v>
      </c>
      <c r="D15" s="40">
        <v>50798.68</v>
      </c>
      <c r="E15" s="26">
        <f t="shared" si="0"/>
        <v>2912.489999999998</v>
      </c>
      <c r="F15" s="36"/>
      <c r="G15" s="35"/>
    </row>
    <row r="16" spans="2:7" ht="15" customHeight="1" x14ac:dyDescent="0.2">
      <c r="B16" s="552" t="s">
        <v>182</v>
      </c>
      <c r="C16" s="40">
        <v>451.79</v>
      </c>
      <c r="D16" s="40">
        <v>325.79000000000002</v>
      </c>
      <c r="E16" s="26">
        <f t="shared" si="0"/>
        <v>126</v>
      </c>
      <c r="F16" s="36"/>
      <c r="G16" s="35"/>
    </row>
    <row r="17" spans="2:7" ht="14.25" customHeight="1" x14ac:dyDescent="0.2">
      <c r="B17" s="552" t="s">
        <v>183</v>
      </c>
      <c r="C17" s="40">
        <v>52963.15</v>
      </c>
      <c r="D17" s="40">
        <v>22810.37</v>
      </c>
      <c r="E17" s="26">
        <f t="shared" si="0"/>
        <v>30152.780000000002</v>
      </c>
      <c r="F17" s="36"/>
      <c r="G17" s="35"/>
    </row>
    <row r="18" spans="2:7" ht="14.25" customHeight="1" x14ac:dyDescent="0.2">
      <c r="B18" s="552" t="s">
        <v>184</v>
      </c>
      <c r="C18" s="40">
        <v>39079.33</v>
      </c>
      <c r="D18" s="40">
        <v>7609.14</v>
      </c>
      <c r="E18" s="26">
        <f t="shared" si="0"/>
        <v>31470.190000000002</v>
      </c>
      <c r="F18" s="36"/>
      <c r="G18" s="35"/>
    </row>
    <row r="19" spans="2:7" ht="15" customHeight="1" x14ac:dyDescent="0.2">
      <c r="B19" s="552" t="s">
        <v>185</v>
      </c>
      <c r="C19" s="40">
        <f>388239.46+540000</f>
        <v>928239.46</v>
      </c>
      <c r="D19" s="40">
        <v>469192.38</v>
      </c>
      <c r="E19" s="26">
        <f t="shared" si="0"/>
        <v>459047.07999999996</v>
      </c>
      <c r="F19" s="36"/>
      <c r="G19" s="35"/>
    </row>
    <row r="20" spans="2:7" s="8" customFormat="1" ht="27.75" customHeight="1" x14ac:dyDescent="0.25">
      <c r="B20" s="43" t="s">
        <v>96</v>
      </c>
      <c r="C20" s="44">
        <f>SUM(C7:C19)</f>
        <v>4082878.14</v>
      </c>
      <c r="D20" s="45">
        <f>SUM(D7:D19)</f>
        <v>4172312.85</v>
      </c>
      <c r="E20" s="45">
        <f t="shared" si="0"/>
        <v>-89434.709999999963</v>
      </c>
      <c r="F20" s="78"/>
      <c r="G20" s="76"/>
    </row>
    <row r="22" spans="2:7" ht="33" customHeight="1" x14ac:dyDescent="0.2">
      <c r="B22" s="595"/>
      <c r="C22" s="595"/>
      <c r="D22" s="595"/>
      <c r="E22" s="595"/>
      <c r="F22" s="36"/>
      <c r="G22" s="36"/>
    </row>
    <row r="23" spans="2:7" x14ac:dyDescent="0.2">
      <c r="B23" s="35"/>
      <c r="C23" s="36"/>
      <c r="D23" s="36"/>
      <c r="E23" s="36"/>
      <c r="F23" s="36"/>
      <c r="G23" s="35"/>
    </row>
  </sheetData>
  <mergeCells count="5">
    <mergeCell ref="B3:E3"/>
    <mergeCell ref="B5:B6"/>
    <mergeCell ref="C5:C6"/>
    <mergeCell ref="D5:D6"/>
    <mergeCell ref="B22:E2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Q48"/>
  <sheetViews>
    <sheetView workbookViewId="0"/>
  </sheetViews>
  <sheetFormatPr defaultRowHeight="12.75" x14ac:dyDescent="0.2"/>
  <cols>
    <col min="1" max="1" width="6.140625" style="350" customWidth="1"/>
    <col min="2" max="2" width="21.7109375" style="351" customWidth="1"/>
    <col min="3" max="3" width="12.5703125" style="350" customWidth="1"/>
    <col min="4" max="4" width="13" style="352" customWidth="1"/>
    <col min="5" max="5" width="11.28515625" style="352" customWidth="1"/>
    <col min="6" max="6" width="18.5703125" style="352" customWidth="1"/>
    <col min="7" max="7" width="11.140625" style="351" customWidth="1"/>
    <col min="8" max="8" width="12.28515625" style="352" customWidth="1"/>
    <col min="9" max="9" width="11.42578125" style="352" customWidth="1"/>
    <col min="10" max="10" width="11.5703125" style="352" customWidth="1"/>
    <col min="11" max="12" width="14.28515625" style="352" customWidth="1"/>
    <col min="13" max="13" width="35.140625" style="351" customWidth="1"/>
    <col min="14" max="14" width="20.7109375" style="352" customWidth="1"/>
    <col min="15" max="16" width="9.140625" style="352"/>
    <col min="17" max="17" width="51.7109375" style="352" customWidth="1"/>
    <col min="18" max="18" width="9.42578125" style="351" customWidth="1"/>
    <col min="19" max="246" width="9.140625" style="351"/>
    <col min="247" max="247" width="11.7109375" style="351" customWidth="1"/>
    <col min="248" max="248" width="16.7109375" style="351" customWidth="1"/>
    <col min="249" max="249" width="14.42578125" style="351" customWidth="1"/>
    <col min="250" max="250" width="13.140625" style="351" customWidth="1"/>
    <col min="251" max="251" width="13.28515625" style="351" customWidth="1"/>
    <col min="252" max="252" width="11.85546875" style="351" customWidth="1"/>
    <col min="253" max="253" width="16" style="351" customWidth="1"/>
    <col min="254" max="254" width="12" style="351" customWidth="1"/>
    <col min="255" max="255" width="11.5703125" style="351" customWidth="1"/>
    <col min="256" max="256" width="11.7109375" style="351" customWidth="1"/>
    <col min="257" max="257" width="17.5703125" style="351" customWidth="1"/>
    <col min="258" max="258" width="6.42578125" style="351" customWidth="1"/>
    <col min="259" max="259" width="29.28515625" style="351" customWidth="1"/>
    <col min="260" max="260" width="18.85546875" style="351" customWidth="1"/>
    <col min="261" max="502" width="9.140625" style="351"/>
    <col min="503" max="503" width="11.7109375" style="351" customWidth="1"/>
    <col min="504" max="504" width="16.7109375" style="351" customWidth="1"/>
    <col min="505" max="505" width="14.42578125" style="351" customWidth="1"/>
    <col min="506" max="506" width="13.140625" style="351" customWidth="1"/>
    <col min="507" max="507" width="13.28515625" style="351" customWidth="1"/>
    <col min="508" max="508" width="11.85546875" style="351" customWidth="1"/>
    <col min="509" max="509" width="16" style="351" customWidth="1"/>
    <col min="510" max="510" width="12" style="351" customWidth="1"/>
    <col min="511" max="511" width="11.5703125" style="351" customWidth="1"/>
    <col min="512" max="512" width="11.7109375" style="351" customWidth="1"/>
    <col min="513" max="513" width="17.5703125" style="351" customWidth="1"/>
    <col min="514" max="514" width="6.42578125" style="351" customWidth="1"/>
    <col min="515" max="515" width="29.28515625" style="351" customWidth="1"/>
    <col min="516" max="516" width="18.85546875" style="351" customWidth="1"/>
    <col min="517" max="758" width="9.140625" style="351"/>
    <col min="759" max="759" width="11.7109375" style="351" customWidth="1"/>
    <col min="760" max="760" width="16.7109375" style="351" customWidth="1"/>
    <col min="761" max="761" width="14.42578125" style="351" customWidth="1"/>
    <col min="762" max="762" width="13.140625" style="351" customWidth="1"/>
    <col min="763" max="763" width="13.28515625" style="351" customWidth="1"/>
    <col min="764" max="764" width="11.85546875" style="351" customWidth="1"/>
    <col min="765" max="765" width="16" style="351" customWidth="1"/>
    <col min="766" max="766" width="12" style="351" customWidth="1"/>
    <col min="767" max="767" width="11.5703125" style="351" customWidth="1"/>
    <col min="768" max="768" width="11.7109375" style="351" customWidth="1"/>
    <col min="769" max="769" width="17.5703125" style="351" customWidth="1"/>
    <col min="770" max="770" width="6.42578125" style="351" customWidth="1"/>
    <col min="771" max="771" width="29.28515625" style="351" customWidth="1"/>
    <col min="772" max="772" width="18.85546875" style="351" customWidth="1"/>
    <col min="773" max="1014" width="9.140625" style="351"/>
    <col min="1015" max="1015" width="11.7109375" style="351" customWidth="1"/>
    <col min="1016" max="1016" width="16.7109375" style="351" customWidth="1"/>
    <col min="1017" max="1017" width="14.42578125" style="351" customWidth="1"/>
    <col min="1018" max="1018" width="13.140625" style="351" customWidth="1"/>
    <col min="1019" max="1019" width="13.28515625" style="351" customWidth="1"/>
    <col min="1020" max="1020" width="11.85546875" style="351" customWidth="1"/>
    <col min="1021" max="1021" width="16" style="351" customWidth="1"/>
    <col min="1022" max="1022" width="12" style="351" customWidth="1"/>
    <col min="1023" max="1023" width="11.5703125" style="351" customWidth="1"/>
    <col min="1024" max="1024" width="11.7109375" style="351" customWidth="1"/>
    <col min="1025" max="1025" width="17.5703125" style="351" customWidth="1"/>
    <col min="1026" max="1026" width="6.42578125" style="351" customWidth="1"/>
    <col min="1027" max="1027" width="29.28515625" style="351" customWidth="1"/>
    <col min="1028" max="1028" width="18.85546875" style="351" customWidth="1"/>
    <col min="1029" max="1270" width="9.140625" style="351"/>
    <col min="1271" max="1271" width="11.7109375" style="351" customWidth="1"/>
    <col min="1272" max="1272" width="16.7109375" style="351" customWidth="1"/>
    <col min="1273" max="1273" width="14.42578125" style="351" customWidth="1"/>
    <col min="1274" max="1274" width="13.140625" style="351" customWidth="1"/>
    <col min="1275" max="1275" width="13.28515625" style="351" customWidth="1"/>
    <col min="1276" max="1276" width="11.85546875" style="351" customWidth="1"/>
    <col min="1277" max="1277" width="16" style="351" customWidth="1"/>
    <col min="1278" max="1278" width="12" style="351" customWidth="1"/>
    <col min="1279" max="1279" width="11.5703125" style="351" customWidth="1"/>
    <col min="1280" max="1280" width="11.7109375" style="351" customWidth="1"/>
    <col min="1281" max="1281" width="17.5703125" style="351" customWidth="1"/>
    <col min="1282" max="1282" width="6.42578125" style="351" customWidth="1"/>
    <col min="1283" max="1283" width="29.28515625" style="351" customWidth="1"/>
    <col min="1284" max="1284" width="18.85546875" style="351" customWidth="1"/>
    <col min="1285" max="1526" width="9.140625" style="351"/>
    <col min="1527" max="1527" width="11.7109375" style="351" customWidth="1"/>
    <col min="1528" max="1528" width="16.7109375" style="351" customWidth="1"/>
    <col min="1529" max="1529" width="14.42578125" style="351" customWidth="1"/>
    <col min="1530" max="1530" width="13.140625" style="351" customWidth="1"/>
    <col min="1531" max="1531" width="13.28515625" style="351" customWidth="1"/>
    <col min="1532" max="1532" width="11.85546875" style="351" customWidth="1"/>
    <col min="1533" max="1533" width="16" style="351" customWidth="1"/>
    <col min="1534" max="1534" width="12" style="351" customWidth="1"/>
    <col min="1535" max="1535" width="11.5703125" style="351" customWidth="1"/>
    <col min="1536" max="1536" width="11.7109375" style="351" customWidth="1"/>
    <col min="1537" max="1537" width="17.5703125" style="351" customWidth="1"/>
    <col min="1538" max="1538" width="6.42578125" style="351" customWidth="1"/>
    <col min="1539" max="1539" width="29.28515625" style="351" customWidth="1"/>
    <col min="1540" max="1540" width="18.85546875" style="351" customWidth="1"/>
    <col min="1541" max="1782" width="9.140625" style="351"/>
    <col min="1783" max="1783" width="11.7109375" style="351" customWidth="1"/>
    <col min="1784" max="1784" width="16.7109375" style="351" customWidth="1"/>
    <col min="1785" max="1785" width="14.42578125" style="351" customWidth="1"/>
    <col min="1786" max="1786" width="13.140625" style="351" customWidth="1"/>
    <col min="1787" max="1787" width="13.28515625" style="351" customWidth="1"/>
    <col min="1788" max="1788" width="11.85546875" style="351" customWidth="1"/>
    <col min="1789" max="1789" width="16" style="351" customWidth="1"/>
    <col min="1790" max="1790" width="12" style="351" customWidth="1"/>
    <col min="1791" max="1791" width="11.5703125" style="351" customWidth="1"/>
    <col min="1792" max="1792" width="11.7109375" style="351" customWidth="1"/>
    <col min="1793" max="1793" width="17.5703125" style="351" customWidth="1"/>
    <col min="1794" max="1794" width="6.42578125" style="351" customWidth="1"/>
    <col min="1795" max="1795" width="29.28515625" style="351" customWidth="1"/>
    <col min="1796" max="1796" width="18.85546875" style="351" customWidth="1"/>
    <col min="1797" max="2038" width="9.140625" style="351"/>
    <col min="2039" max="2039" width="11.7109375" style="351" customWidth="1"/>
    <col min="2040" max="2040" width="16.7109375" style="351" customWidth="1"/>
    <col min="2041" max="2041" width="14.42578125" style="351" customWidth="1"/>
    <col min="2042" max="2042" width="13.140625" style="351" customWidth="1"/>
    <col min="2043" max="2043" width="13.28515625" style="351" customWidth="1"/>
    <col min="2044" max="2044" width="11.85546875" style="351" customWidth="1"/>
    <col min="2045" max="2045" width="16" style="351" customWidth="1"/>
    <col min="2046" max="2046" width="12" style="351" customWidth="1"/>
    <col min="2047" max="2047" width="11.5703125" style="351" customWidth="1"/>
    <col min="2048" max="2048" width="11.7109375" style="351" customWidth="1"/>
    <col min="2049" max="2049" width="17.5703125" style="351" customWidth="1"/>
    <col min="2050" max="2050" width="6.42578125" style="351" customWidth="1"/>
    <col min="2051" max="2051" width="29.28515625" style="351" customWidth="1"/>
    <col min="2052" max="2052" width="18.85546875" style="351" customWidth="1"/>
    <col min="2053" max="2294" width="9.140625" style="351"/>
    <col min="2295" max="2295" width="11.7109375" style="351" customWidth="1"/>
    <col min="2296" max="2296" width="16.7109375" style="351" customWidth="1"/>
    <col min="2297" max="2297" width="14.42578125" style="351" customWidth="1"/>
    <col min="2298" max="2298" width="13.140625" style="351" customWidth="1"/>
    <col min="2299" max="2299" width="13.28515625" style="351" customWidth="1"/>
    <col min="2300" max="2300" width="11.85546875" style="351" customWidth="1"/>
    <col min="2301" max="2301" width="16" style="351" customWidth="1"/>
    <col min="2302" max="2302" width="12" style="351" customWidth="1"/>
    <col min="2303" max="2303" width="11.5703125" style="351" customWidth="1"/>
    <col min="2304" max="2304" width="11.7109375" style="351" customWidth="1"/>
    <col min="2305" max="2305" width="17.5703125" style="351" customWidth="1"/>
    <col min="2306" max="2306" width="6.42578125" style="351" customWidth="1"/>
    <col min="2307" max="2307" width="29.28515625" style="351" customWidth="1"/>
    <col min="2308" max="2308" width="18.85546875" style="351" customWidth="1"/>
    <col min="2309" max="2550" width="9.140625" style="351"/>
    <col min="2551" max="2551" width="11.7109375" style="351" customWidth="1"/>
    <col min="2552" max="2552" width="16.7109375" style="351" customWidth="1"/>
    <col min="2553" max="2553" width="14.42578125" style="351" customWidth="1"/>
    <col min="2554" max="2554" width="13.140625" style="351" customWidth="1"/>
    <col min="2555" max="2555" width="13.28515625" style="351" customWidth="1"/>
    <col min="2556" max="2556" width="11.85546875" style="351" customWidth="1"/>
    <col min="2557" max="2557" width="16" style="351" customWidth="1"/>
    <col min="2558" max="2558" width="12" style="351" customWidth="1"/>
    <col min="2559" max="2559" width="11.5703125" style="351" customWidth="1"/>
    <col min="2560" max="2560" width="11.7109375" style="351" customWidth="1"/>
    <col min="2561" max="2561" width="17.5703125" style="351" customWidth="1"/>
    <col min="2562" max="2562" width="6.42578125" style="351" customWidth="1"/>
    <col min="2563" max="2563" width="29.28515625" style="351" customWidth="1"/>
    <col min="2564" max="2564" width="18.85546875" style="351" customWidth="1"/>
    <col min="2565" max="2806" width="9.140625" style="351"/>
    <col min="2807" max="2807" width="11.7109375" style="351" customWidth="1"/>
    <col min="2808" max="2808" width="16.7109375" style="351" customWidth="1"/>
    <col min="2809" max="2809" width="14.42578125" style="351" customWidth="1"/>
    <col min="2810" max="2810" width="13.140625" style="351" customWidth="1"/>
    <col min="2811" max="2811" width="13.28515625" style="351" customWidth="1"/>
    <col min="2812" max="2812" width="11.85546875" style="351" customWidth="1"/>
    <col min="2813" max="2813" width="16" style="351" customWidth="1"/>
    <col min="2814" max="2814" width="12" style="351" customWidth="1"/>
    <col min="2815" max="2815" width="11.5703125" style="351" customWidth="1"/>
    <col min="2816" max="2816" width="11.7109375" style="351" customWidth="1"/>
    <col min="2817" max="2817" width="17.5703125" style="351" customWidth="1"/>
    <col min="2818" max="2818" width="6.42578125" style="351" customWidth="1"/>
    <col min="2819" max="2819" width="29.28515625" style="351" customWidth="1"/>
    <col min="2820" max="2820" width="18.85546875" style="351" customWidth="1"/>
    <col min="2821" max="3062" width="9.140625" style="351"/>
    <col min="3063" max="3063" width="11.7109375" style="351" customWidth="1"/>
    <col min="3064" max="3064" width="16.7109375" style="351" customWidth="1"/>
    <col min="3065" max="3065" width="14.42578125" style="351" customWidth="1"/>
    <col min="3066" max="3066" width="13.140625" style="351" customWidth="1"/>
    <col min="3067" max="3067" width="13.28515625" style="351" customWidth="1"/>
    <col min="3068" max="3068" width="11.85546875" style="351" customWidth="1"/>
    <col min="3069" max="3069" width="16" style="351" customWidth="1"/>
    <col min="3070" max="3070" width="12" style="351" customWidth="1"/>
    <col min="3071" max="3071" width="11.5703125" style="351" customWidth="1"/>
    <col min="3072" max="3072" width="11.7109375" style="351" customWidth="1"/>
    <col min="3073" max="3073" width="17.5703125" style="351" customWidth="1"/>
    <col min="3074" max="3074" width="6.42578125" style="351" customWidth="1"/>
    <col min="3075" max="3075" width="29.28515625" style="351" customWidth="1"/>
    <col min="3076" max="3076" width="18.85546875" style="351" customWidth="1"/>
    <col min="3077" max="3318" width="9.140625" style="351"/>
    <col min="3319" max="3319" width="11.7109375" style="351" customWidth="1"/>
    <col min="3320" max="3320" width="16.7109375" style="351" customWidth="1"/>
    <col min="3321" max="3321" width="14.42578125" style="351" customWidth="1"/>
    <col min="3322" max="3322" width="13.140625" style="351" customWidth="1"/>
    <col min="3323" max="3323" width="13.28515625" style="351" customWidth="1"/>
    <col min="3324" max="3324" width="11.85546875" style="351" customWidth="1"/>
    <col min="3325" max="3325" width="16" style="351" customWidth="1"/>
    <col min="3326" max="3326" width="12" style="351" customWidth="1"/>
    <col min="3327" max="3327" width="11.5703125" style="351" customWidth="1"/>
    <col min="3328" max="3328" width="11.7109375" style="351" customWidth="1"/>
    <col min="3329" max="3329" width="17.5703125" style="351" customWidth="1"/>
    <col min="3330" max="3330" width="6.42578125" style="351" customWidth="1"/>
    <col min="3331" max="3331" width="29.28515625" style="351" customWidth="1"/>
    <col min="3332" max="3332" width="18.85546875" style="351" customWidth="1"/>
    <col min="3333" max="3574" width="9.140625" style="351"/>
    <col min="3575" max="3575" width="11.7109375" style="351" customWidth="1"/>
    <col min="3576" max="3576" width="16.7109375" style="351" customWidth="1"/>
    <col min="3577" max="3577" width="14.42578125" style="351" customWidth="1"/>
    <col min="3578" max="3578" width="13.140625" style="351" customWidth="1"/>
    <col min="3579" max="3579" width="13.28515625" style="351" customWidth="1"/>
    <col min="3580" max="3580" width="11.85546875" style="351" customWidth="1"/>
    <col min="3581" max="3581" width="16" style="351" customWidth="1"/>
    <col min="3582" max="3582" width="12" style="351" customWidth="1"/>
    <col min="3583" max="3583" width="11.5703125" style="351" customWidth="1"/>
    <col min="3584" max="3584" width="11.7109375" style="351" customWidth="1"/>
    <col min="3585" max="3585" width="17.5703125" style="351" customWidth="1"/>
    <col min="3586" max="3586" width="6.42578125" style="351" customWidth="1"/>
    <col min="3587" max="3587" width="29.28515625" style="351" customWidth="1"/>
    <col min="3588" max="3588" width="18.85546875" style="351" customWidth="1"/>
    <col min="3589" max="3830" width="9.140625" style="351"/>
    <col min="3831" max="3831" width="11.7109375" style="351" customWidth="1"/>
    <col min="3832" max="3832" width="16.7109375" style="351" customWidth="1"/>
    <col min="3833" max="3833" width="14.42578125" style="351" customWidth="1"/>
    <col min="3834" max="3834" width="13.140625" style="351" customWidth="1"/>
    <col min="3835" max="3835" width="13.28515625" style="351" customWidth="1"/>
    <col min="3836" max="3836" width="11.85546875" style="351" customWidth="1"/>
    <col min="3837" max="3837" width="16" style="351" customWidth="1"/>
    <col min="3838" max="3838" width="12" style="351" customWidth="1"/>
    <col min="3839" max="3839" width="11.5703125" style="351" customWidth="1"/>
    <col min="3840" max="3840" width="11.7109375" style="351" customWidth="1"/>
    <col min="3841" max="3841" width="17.5703125" style="351" customWidth="1"/>
    <col min="3842" max="3842" width="6.42578125" style="351" customWidth="1"/>
    <col min="3843" max="3843" width="29.28515625" style="351" customWidth="1"/>
    <col min="3844" max="3844" width="18.85546875" style="351" customWidth="1"/>
    <col min="3845" max="4086" width="9.140625" style="351"/>
    <col min="4087" max="4087" width="11.7109375" style="351" customWidth="1"/>
    <col min="4088" max="4088" width="16.7109375" style="351" customWidth="1"/>
    <col min="4089" max="4089" width="14.42578125" style="351" customWidth="1"/>
    <col min="4090" max="4090" width="13.140625" style="351" customWidth="1"/>
    <col min="4091" max="4091" width="13.28515625" style="351" customWidth="1"/>
    <col min="4092" max="4092" width="11.85546875" style="351" customWidth="1"/>
    <col min="4093" max="4093" width="16" style="351" customWidth="1"/>
    <col min="4094" max="4094" width="12" style="351" customWidth="1"/>
    <col min="4095" max="4095" width="11.5703125" style="351" customWidth="1"/>
    <col min="4096" max="4096" width="11.7109375" style="351" customWidth="1"/>
    <col min="4097" max="4097" width="17.5703125" style="351" customWidth="1"/>
    <col min="4098" max="4098" width="6.42578125" style="351" customWidth="1"/>
    <col min="4099" max="4099" width="29.28515625" style="351" customWidth="1"/>
    <col min="4100" max="4100" width="18.85546875" style="351" customWidth="1"/>
    <col min="4101" max="4342" width="9.140625" style="351"/>
    <col min="4343" max="4343" width="11.7109375" style="351" customWidth="1"/>
    <col min="4344" max="4344" width="16.7109375" style="351" customWidth="1"/>
    <col min="4345" max="4345" width="14.42578125" style="351" customWidth="1"/>
    <col min="4346" max="4346" width="13.140625" style="351" customWidth="1"/>
    <col min="4347" max="4347" width="13.28515625" style="351" customWidth="1"/>
    <col min="4348" max="4348" width="11.85546875" style="351" customWidth="1"/>
    <col min="4349" max="4349" width="16" style="351" customWidth="1"/>
    <col min="4350" max="4350" width="12" style="351" customWidth="1"/>
    <col min="4351" max="4351" width="11.5703125" style="351" customWidth="1"/>
    <col min="4352" max="4352" width="11.7109375" style="351" customWidth="1"/>
    <col min="4353" max="4353" width="17.5703125" style="351" customWidth="1"/>
    <col min="4354" max="4354" width="6.42578125" style="351" customWidth="1"/>
    <col min="4355" max="4355" width="29.28515625" style="351" customWidth="1"/>
    <col min="4356" max="4356" width="18.85546875" style="351" customWidth="1"/>
    <col min="4357" max="4598" width="9.140625" style="351"/>
    <col min="4599" max="4599" width="11.7109375" style="351" customWidth="1"/>
    <col min="4600" max="4600" width="16.7109375" style="351" customWidth="1"/>
    <col min="4601" max="4601" width="14.42578125" style="351" customWidth="1"/>
    <col min="4602" max="4602" width="13.140625" style="351" customWidth="1"/>
    <col min="4603" max="4603" width="13.28515625" style="351" customWidth="1"/>
    <col min="4604" max="4604" width="11.85546875" style="351" customWidth="1"/>
    <col min="4605" max="4605" width="16" style="351" customWidth="1"/>
    <col min="4606" max="4606" width="12" style="351" customWidth="1"/>
    <col min="4607" max="4607" width="11.5703125" style="351" customWidth="1"/>
    <col min="4608" max="4608" width="11.7109375" style="351" customWidth="1"/>
    <col min="4609" max="4609" width="17.5703125" style="351" customWidth="1"/>
    <col min="4610" max="4610" width="6.42578125" style="351" customWidth="1"/>
    <col min="4611" max="4611" width="29.28515625" style="351" customWidth="1"/>
    <col min="4612" max="4612" width="18.85546875" style="351" customWidth="1"/>
    <col min="4613" max="4854" width="9.140625" style="351"/>
    <col min="4855" max="4855" width="11.7109375" style="351" customWidth="1"/>
    <col min="4856" max="4856" width="16.7109375" style="351" customWidth="1"/>
    <col min="4857" max="4857" width="14.42578125" style="351" customWidth="1"/>
    <col min="4858" max="4858" width="13.140625" style="351" customWidth="1"/>
    <col min="4859" max="4859" width="13.28515625" style="351" customWidth="1"/>
    <col min="4860" max="4860" width="11.85546875" style="351" customWidth="1"/>
    <col min="4861" max="4861" width="16" style="351" customWidth="1"/>
    <col min="4862" max="4862" width="12" style="351" customWidth="1"/>
    <col min="4863" max="4863" width="11.5703125" style="351" customWidth="1"/>
    <col min="4864" max="4864" width="11.7109375" style="351" customWidth="1"/>
    <col min="4865" max="4865" width="17.5703125" style="351" customWidth="1"/>
    <col min="4866" max="4866" width="6.42578125" style="351" customWidth="1"/>
    <col min="4867" max="4867" width="29.28515625" style="351" customWidth="1"/>
    <col min="4868" max="4868" width="18.85546875" style="351" customWidth="1"/>
    <col min="4869" max="5110" width="9.140625" style="351"/>
    <col min="5111" max="5111" width="11.7109375" style="351" customWidth="1"/>
    <col min="5112" max="5112" width="16.7109375" style="351" customWidth="1"/>
    <col min="5113" max="5113" width="14.42578125" style="351" customWidth="1"/>
    <col min="5114" max="5114" width="13.140625" style="351" customWidth="1"/>
    <col min="5115" max="5115" width="13.28515625" style="351" customWidth="1"/>
    <col min="5116" max="5116" width="11.85546875" style="351" customWidth="1"/>
    <col min="5117" max="5117" width="16" style="351" customWidth="1"/>
    <col min="5118" max="5118" width="12" style="351" customWidth="1"/>
    <col min="5119" max="5119" width="11.5703125" style="351" customWidth="1"/>
    <col min="5120" max="5120" width="11.7109375" style="351" customWidth="1"/>
    <col min="5121" max="5121" width="17.5703125" style="351" customWidth="1"/>
    <col min="5122" max="5122" width="6.42578125" style="351" customWidth="1"/>
    <col min="5123" max="5123" width="29.28515625" style="351" customWidth="1"/>
    <col min="5124" max="5124" width="18.85546875" style="351" customWidth="1"/>
    <col min="5125" max="5366" width="9.140625" style="351"/>
    <col min="5367" max="5367" width="11.7109375" style="351" customWidth="1"/>
    <col min="5368" max="5368" width="16.7109375" style="351" customWidth="1"/>
    <col min="5369" max="5369" width="14.42578125" style="351" customWidth="1"/>
    <col min="5370" max="5370" width="13.140625" style="351" customWidth="1"/>
    <col min="5371" max="5371" width="13.28515625" style="351" customWidth="1"/>
    <col min="5372" max="5372" width="11.85546875" style="351" customWidth="1"/>
    <col min="5373" max="5373" width="16" style="351" customWidth="1"/>
    <col min="5374" max="5374" width="12" style="351" customWidth="1"/>
    <col min="5375" max="5375" width="11.5703125" style="351" customWidth="1"/>
    <col min="5376" max="5376" width="11.7109375" style="351" customWidth="1"/>
    <col min="5377" max="5377" width="17.5703125" style="351" customWidth="1"/>
    <col min="5378" max="5378" width="6.42578125" style="351" customWidth="1"/>
    <col min="5379" max="5379" width="29.28515625" style="351" customWidth="1"/>
    <col min="5380" max="5380" width="18.85546875" style="351" customWidth="1"/>
    <col min="5381" max="5622" width="9.140625" style="351"/>
    <col min="5623" max="5623" width="11.7109375" style="351" customWidth="1"/>
    <col min="5624" max="5624" width="16.7109375" style="351" customWidth="1"/>
    <col min="5625" max="5625" width="14.42578125" style="351" customWidth="1"/>
    <col min="5626" max="5626" width="13.140625" style="351" customWidth="1"/>
    <col min="5627" max="5627" width="13.28515625" style="351" customWidth="1"/>
    <col min="5628" max="5628" width="11.85546875" style="351" customWidth="1"/>
    <col min="5629" max="5629" width="16" style="351" customWidth="1"/>
    <col min="5630" max="5630" width="12" style="351" customWidth="1"/>
    <col min="5631" max="5631" width="11.5703125" style="351" customWidth="1"/>
    <col min="5632" max="5632" width="11.7109375" style="351" customWidth="1"/>
    <col min="5633" max="5633" width="17.5703125" style="351" customWidth="1"/>
    <col min="5634" max="5634" width="6.42578125" style="351" customWidth="1"/>
    <col min="5635" max="5635" width="29.28515625" style="351" customWidth="1"/>
    <col min="5636" max="5636" width="18.85546875" style="351" customWidth="1"/>
    <col min="5637" max="5878" width="9.140625" style="351"/>
    <col min="5879" max="5879" width="11.7109375" style="351" customWidth="1"/>
    <col min="5880" max="5880" width="16.7109375" style="351" customWidth="1"/>
    <col min="5881" max="5881" width="14.42578125" style="351" customWidth="1"/>
    <col min="5882" max="5882" width="13.140625" style="351" customWidth="1"/>
    <col min="5883" max="5883" width="13.28515625" style="351" customWidth="1"/>
    <col min="5884" max="5884" width="11.85546875" style="351" customWidth="1"/>
    <col min="5885" max="5885" width="16" style="351" customWidth="1"/>
    <col min="5886" max="5886" width="12" style="351" customWidth="1"/>
    <col min="5887" max="5887" width="11.5703125" style="351" customWidth="1"/>
    <col min="5888" max="5888" width="11.7109375" style="351" customWidth="1"/>
    <col min="5889" max="5889" width="17.5703125" style="351" customWidth="1"/>
    <col min="5890" max="5890" width="6.42578125" style="351" customWidth="1"/>
    <col min="5891" max="5891" width="29.28515625" style="351" customWidth="1"/>
    <col min="5892" max="5892" width="18.85546875" style="351" customWidth="1"/>
    <col min="5893" max="6134" width="9.140625" style="351"/>
    <col min="6135" max="6135" width="11.7109375" style="351" customWidth="1"/>
    <col min="6136" max="6136" width="16.7109375" style="351" customWidth="1"/>
    <col min="6137" max="6137" width="14.42578125" style="351" customWidth="1"/>
    <col min="6138" max="6138" width="13.140625" style="351" customWidth="1"/>
    <col min="6139" max="6139" width="13.28515625" style="351" customWidth="1"/>
    <col min="6140" max="6140" width="11.85546875" style="351" customWidth="1"/>
    <col min="6141" max="6141" width="16" style="351" customWidth="1"/>
    <col min="6142" max="6142" width="12" style="351" customWidth="1"/>
    <col min="6143" max="6143" width="11.5703125" style="351" customWidth="1"/>
    <col min="6144" max="6144" width="11.7109375" style="351" customWidth="1"/>
    <col min="6145" max="6145" width="17.5703125" style="351" customWidth="1"/>
    <col min="6146" max="6146" width="6.42578125" style="351" customWidth="1"/>
    <col min="6147" max="6147" width="29.28515625" style="351" customWidth="1"/>
    <col min="6148" max="6148" width="18.85546875" style="351" customWidth="1"/>
    <col min="6149" max="6390" width="9.140625" style="351"/>
    <col min="6391" max="6391" width="11.7109375" style="351" customWidth="1"/>
    <col min="6392" max="6392" width="16.7109375" style="351" customWidth="1"/>
    <col min="6393" max="6393" width="14.42578125" style="351" customWidth="1"/>
    <col min="6394" max="6394" width="13.140625" style="351" customWidth="1"/>
    <col min="6395" max="6395" width="13.28515625" style="351" customWidth="1"/>
    <col min="6396" max="6396" width="11.85546875" style="351" customWidth="1"/>
    <col min="6397" max="6397" width="16" style="351" customWidth="1"/>
    <col min="6398" max="6398" width="12" style="351" customWidth="1"/>
    <col min="6399" max="6399" width="11.5703125" style="351" customWidth="1"/>
    <col min="6400" max="6400" width="11.7109375" style="351" customWidth="1"/>
    <col min="6401" max="6401" width="17.5703125" style="351" customWidth="1"/>
    <col min="6402" max="6402" width="6.42578125" style="351" customWidth="1"/>
    <col min="6403" max="6403" width="29.28515625" style="351" customWidth="1"/>
    <col min="6404" max="6404" width="18.85546875" style="351" customWidth="1"/>
    <col min="6405" max="6646" width="9.140625" style="351"/>
    <col min="6647" max="6647" width="11.7109375" style="351" customWidth="1"/>
    <col min="6648" max="6648" width="16.7109375" style="351" customWidth="1"/>
    <col min="6649" max="6649" width="14.42578125" style="351" customWidth="1"/>
    <col min="6650" max="6650" width="13.140625" style="351" customWidth="1"/>
    <col min="6651" max="6651" width="13.28515625" style="351" customWidth="1"/>
    <col min="6652" max="6652" width="11.85546875" style="351" customWidth="1"/>
    <col min="6653" max="6653" width="16" style="351" customWidth="1"/>
    <col min="6654" max="6654" width="12" style="351" customWidth="1"/>
    <col min="6655" max="6655" width="11.5703125" style="351" customWidth="1"/>
    <col min="6656" max="6656" width="11.7109375" style="351" customWidth="1"/>
    <col min="6657" max="6657" width="17.5703125" style="351" customWidth="1"/>
    <col min="6658" max="6658" width="6.42578125" style="351" customWidth="1"/>
    <col min="6659" max="6659" width="29.28515625" style="351" customWidth="1"/>
    <col min="6660" max="6660" width="18.85546875" style="351" customWidth="1"/>
    <col min="6661" max="6902" width="9.140625" style="351"/>
    <col min="6903" max="6903" width="11.7109375" style="351" customWidth="1"/>
    <col min="6904" max="6904" width="16.7109375" style="351" customWidth="1"/>
    <col min="6905" max="6905" width="14.42578125" style="351" customWidth="1"/>
    <col min="6906" max="6906" width="13.140625" style="351" customWidth="1"/>
    <col min="6907" max="6907" width="13.28515625" style="351" customWidth="1"/>
    <col min="6908" max="6908" width="11.85546875" style="351" customWidth="1"/>
    <col min="6909" max="6909" width="16" style="351" customWidth="1"/>
    <col min="6910" max="6910" width="12" style="351" customWidth="1"/>
    <col min="6911" max="6911" width="11.5703125" style="351" customWidth="1"/>
    <col min="6912" max="6912" width="11.7109375" style="351" customWidth="1"/>
    <col min="6913" max="6913" width="17.5703125" style="351" customWidth="1"/>
    <col min="6914" max="6914" width="6.42578125" style="351" customWidth="1"/>
    <col min="6915" max="6915" width="29.28515625" style="351" customWidth="1"/>
    <col min="6916" max="6916" width="18.85546875" style="351" customWidth="1"/>
    <col min="6917" max="7158" width="9.140625" style="351"/>
    <col min="7159" max="7159" width="11.7109375" style="351" customWidth="1"/>
    <col min="7160" max="7160" width="16.7109375" style="351" customWidth="1"/>
    <col min="7161" max="7161" width="14.42578125" style="351" customWidth="1"/>
    <col min="7162" max="7162" width="13.140625" style="351" customWidth="1"/>
    <col min="7163" max="7163" width="13.28515625" style="351" customWidth="1"/>
    <col min="7164" max="7164" width="11.85546875" style="351" customWidth="1"/>
    <col min="7165" max="7165" width="16" style="351" customWidth="1"/>
    <col min="7166" max="7166" width="12" style="351" customWidth="1"/>
    <col min="7167" max="7167" width="11.5703125" style="351" customWidth="1"/>
    <col min="7168" max="7168" width="11.7109375" style="351" customWidth="1"/>
    <col min="7169" max="7169" width="17.5703125" style="351" customWidth="1"/>
    <col min="7170" max="7170" width="6.42578125" style="351" customWidth="1"/>
    <col min="7171" max="7171" width="29.28515625" style="351" customWidth="1"/>
    <col min="7172" max="7172" width="18.85546875" style="351" customWidth="1"/>
    <col min="7173" max="7414" width="9.140625" style="351"/>
    <col min="7415" max="7415" width="11.7109375" style="351" customWidth="1"/>
    <col min="7416" max="7416" width="16.7109375" style="351" customWidth="1"/>
    <col min="7417" max="7417" width="14.42578125" style="351" customWidth="1"/>
    <col min="7418" max="7418" width="13.140625" style="351" customWidth="1"/>
    <col min="7419" max="7419" width="13.28515625" style="351" customWidth="1"/>
    <col min="7420" max="7420" width="11.85546875" style="351" customWidth="1"/>
    <col min="7421" max="7421" width="16" style="351" customWidth="1"/>
    <col min="7422" max="7422" width="12" style="351" customWidth="1"/>
    <col min="7423" max="7423" width="11.5703125" style="351" customWidth="1"/>
    <col min="7424" max="7424" width="11.7109375" style="351" customWidth="1"/>
    <col min="7425" max="7425" width="17.5703125" style="351" customWidth="1"/>
    <col min="7426" max="7426" width="6.42578125" style="351" customWidth="1"/>
    <col min="7427" max="7427" width="29.28515625" style="351" customWidth="1"/>
    <col min="7428" max="7428" width="18.85546875" style="351" customWidth="1"/>
    <col min="7429" max="7670" width="9.140625" style="351"/>
    <col min="7671" max="7671" width="11.7109375" style="351" customWidth="1"/>
    <col min="7672" max="7672" width="16.7109375" style="351" customWidth="1"/>
    <col min="7673" max="7673" width="14.42578125" style="351" customWidth="1"/>
    <col min="7674" max="7674" width="13.140625" style="351" customWidth="1"/>
    <col min="7675" max="7675" width="13.28515625" style="351" customWidth="1"/>
    <col min="7676" max="7676" width="11.85546875" style="351" customWidth="1"/>
    <col min="7677" max="7677" width="16" style="351" customWidth="1"/>
    <col min="7678" max="7678" width="12" style="351" customWidth="1"/>
    <col min="7679" max="7679" width="11.5703125" style="351" customWidth="1"/>
    <col min="7680" max="7680" width="11.7109375" style="351" customWidth="1"/>
    <col min="7681" max="7681" width="17.5703125" style="351" customWidth="1"/>
    <col min="7682" max="7682" width="6.42578125" style="351" customWidth="1"/>
    <col min="7683" max="7683" width="29.28515625" style="351" customWidth="1"/>
    <col min="7684" max="7684" width="18.85546875" style="351" customWidth="1"/>
    <col min="7685" max="7926" width="9.140625" style="351"/>
    <col min="7927" max="7927" width="11.7109375" style="351" customWidth="1"/>
    <col min="7928" max="7928" width="16.7109375" style="351" customWidth="1"/>
    <col min="7929" max="7929" width="14.42578125" style="351" customWidth="1"/>
    <col min="7930" max="7930" width="13.140625" style="351" customWidth="1"/>
    <col min="7931" max="7931" width="13.28515625" style="351" customWidth="1"/>
    <col min="7932" max="7932" width="11.85546875" style="351" customWidth="1"/>
    <col min="7933" max="7933" width="16" style="351" customWidth="1"/>
    <col min="7934" max="7934" width="12" style="351" customWidth="1"/>
    <col min="7935" max="7935" width="11.5703125" style="351" customWidth="1"/>
    <col min="7936" max="7936" width="11.7109375" style="351" customWidth="1"/>
    <col min="7937" max="7937" width="17.5703125" style="351" customWidth="1"/>
    <col min="7938" max="7938" width="6.42578125" style="351" customWidth="1"/>
    <col min="7939" max="7939" width="29.28515625" style="351" customWidth="1"/>
    <col min="7940" max="7940" width="18.85546875" style="351" customWidth="1"/>
    <col min="7941" max="8182" width="9.140625" style="351"/>
    <col min="8183" max="8183" width="11.7109375" style="351" customWidth="1"/>
    <col min="8184" max="8184" width="16.7109375" style="351" customWidth="1"/>
    <col min="8185" max="8185" width="14.42578125" style="351" customWidth="1"/>
    <col min="8186" max="8186" width="13.140625" style="351" customWidth="1"/>
    <col min="8187" max="8187" width="13.28515625" style="351" customWidth="1"/>
    <col min="8188" max="8188" width="11.85546875" style="351" customWidth="1"/>
    <col min="8189" max="8189" width="16" style="351" customWidth="1"/>
    <col min="8190" max="8190" width="12" style="351" customWidth="1"/>
    <col min="8191" max="8191" width="11.5703125" style="351" customWidth="1"/>
    <col min="8192" max="8192" width="11.7109375" style="351" customWidth="1"/>
    <col min="8193" max="8193" width="17.5703125" style="351" customWidth="1"/>
    <col min="8194" max="8194" width="6.42578125" style="351" customWidth="1"/>
    <col min="8195" max="8195" width="29.28515625" style="351" customWidth="1"/>
    <col min="8196" max="8196" width="18.85546875" style="351" customWidth="1"/>
    <col min="8197" max="8438" width="9.140625" style="351"/>
    <col min="8439" max="8439" width="11.7109375" style="351" customWidth="1"/>
    <col min="8440" max="8440" width="16.7109375" style="351" customWidth="1"/>
    <col min="8441" max="8441" width="14.42578125" style="351" customWidth="1"/>
    <col min="8442" max="8442" width="13.140625" style="351" customWidth="1"/>
    <col min="8443" max="8443" width="13.28515625" style="351" customWidth="1"/>
    <col min="8444" max="8444" width="11.85546875" style="351" customWidth="1"/>
    <col min="8445" max="8445" width="16" style="351" customWidth="1"/>
    <col min="8446" max="8446" width="12" style="351" customWidth="1"/>
    <col min="8447" max="8447" width="11.5703125" style="351" customWidth="1"/>
    <col min="8448" max="8448" width="11.7109375" style="351" customWidth="1"/>
    <col min="8449" max="8449" width="17.5703125" style="351" customWidth="1"/>
    <col min="8450" max="8450" width="6.42578125" style="351" customWidth="1"/>
    <col min="8451" max="8451" width="29.28515625" style="351" customWidth="1"/>
    <col min="8452" max="8452" width="18.85546875" style="351" customWidth="1"/>
    <col min="8453" max="8694" width="9.140625" style="351"/>
    <col min="8695" max="8695" width="11.7109375" style="351" customWidth="1"/>
    <col min="8696" max="8696" width="16.7109375" style="351" customWidth="1"/>
    <col min="8697" max="8697" width="14.42578125" style="351" customWidth="1"/>
    <col min="8698" max="8698" width="13.140625" style="351" customWidth="1"/>
    <col min="8699" max="8699" width="13.28515625" style="351" customWidth="1"/>
    <col min="8700" max="8700" width="11.85546875" style="351" customWidth="1"/>
    <col min="8701" max="8701" width="16" style="351" customWidth="1"/>
    <col min="8702" max="8702" width="12" style="351" customWidth="1"/>
    <col min="8703" max="8703" width="11.5703125" style="351" customWidth="1"/>
    <col min="8704" max="8704" width="11.7109375" style="351" customWidth="1"/>
    <col min="8705" max="8705" width="17.5703125" style="351" customWidth="1"/>
    <col min="8706" max="8706" width="6.42578125" style="351" customWidth="1"/>
    <col min="8707" max="8707" width="29.28515625" style="351" customWidth="1"/>
    <col min="8708" max="8708" width="18.85546875" style="351" customWidth="1"/>
    <col min="8709" max="8950" width="9.140625" style="351"/>
    <col min="8951" max="8951" width="11.7109375" style="351" customWidth="1"/>
    <col min="8952" max="8952" width="16.7109375" style="351" customWidth="1"/>
    <col min="8953" max="8953" width="14.42578125" style="351" customWidth="1"/>
    <col min="8954" max="8954" width="13.140625" style="351" customWidth="1"/>
    <col min="8955" max="8955" width="13.28515625" style="351" customWidth="1"/>
    <col min="8956" max="8956" width="11.85546875" style="351" customWidth="1"/>
    <col min="8957" max="8957" width="16" style="351" customWidth="1"/>
    <col min="8958" max="8958" width="12" style="351" customWidth="1"/>
    <col min="8959" max="8959" width="11.5703125" style="351" customWidth="1"/>
    <col min="8960" max="8960" width="11.7109375" style="351" customWidth="1"/>
    <col min="8961" max="8961" width="17.5703125" style="351" customWidth="1"/>
    <col min="8962" max="8962" width="6.42578125" style="351" customWidth="1"/>
    <col min="8963" max="8963" width="29.28515625" style="351" customWidth="1"/>
    <col min="8964" max="8964" width="18.85546875" style="351" customWidth="1"/>
    <col min="8965" max="9206" width="9.140625" style="351"/>
    <col min="9207" max="9207" width="11.7109375" style="351" customWidth="1"/>
    <col min="9208" max="9208" width="16.7109375" style="351" customWidth="1"/>
    <col min="9209" max="9209" width="14.42578125" style="351" customWidth="1"/>
    <col min="9210" max="9210" width="13.140625" style="351" customWidth="1"/>
    <col min="9211" max="9211" width="13.28515625" style="351" customWidth="1"/>
    <col min="9212" max="9212" width="11.85546875" style="351" customWidth="1"/>
    <col min="9213" max="9213" width="16" style="351" customWidth="1"/>
    <col min="9214" max="9214" width="12" style="351" customWidth="1"/>
    <col min="9215" max="9215" width="11.5703125" style="351" customWidth="1"/>
    <col min="9216" max="9216" width="11.7109375" style="351" customWidth="1"/>
    <col min="9217" max="9217" width="17.5703125" style="351" customWidth="1"/>
    <col min="9218" max="9218" width="6.42578125" style="351" customWidth="1"/>
    <col min="9219" max="9219" width="29.28515625" style="351" customWidth="1"/>
    <col min="9220" max="9220" width="18.85546875" style="351" customWidth="1"/>
    <col min="9221" max="9462" width="9.140625" style="351"/>
    <col min="9463" max="9463" width="11.7109375" style="351" customWidth="1"/>
    <col min="9464" max="9464" width="16.7109375" style="351" customWidth="1"/>
    <col min="9465" max="9465" width="14.42578125" style="351" customWidth="1"/>
    <col min="9466" max="9466" width="13.140625" style="351" customWidth="1"/>
    <col min="9467" max="9467" width="13.28515625" style="351" customWidth="1"/>
    <col min="9468" max="9468" width="11.85546875" style="351" customWidth="1"/>
    <col min="9469" max="9469" width="16" style="351" customWidth="1"/>
    <col min="9470" max="9470" width="12" style="351" customWidth="1"/>
    <col min="9471" max="9471" width="11.5703125" style="351" customWidth="1"/>
    <col min="9472" max="9472" width="11.7109375" style="351" customWidth="1"/>
    <col min="9473" max="9473" width="17.5703125" style="351" customWidth="1"/>
    <col min="9474" max="9474" width="6.42578125" style="351" customWidth="1"/>
    <col min="9475" max="9475" width="29.28515625" style="351" customWidth="1"/>
    <col min="9476" max="9476" width="18.85546875" style="351" customWidth="1"/>
    <col min="9477" max="9718" width="9.140625" style="351"/>
    <col min="9719" max="9719" width="11.7109375" style="351" customWidth="1"/>
    <col min="9720" max="9720" width="16.7109375" style="351" customWidth="1"/>
    <col min="9721" max="9721" width="14.42578125" style="351" customWidth="1"/>
    <col min="9722" max="9722" width="13.140625" style="351" customWidth="1"/>
    <col min="9723" max="9723" width="13.28515625" style="351" customWidth="1"/>
    <col min="9724" max="9724" width="11.85546875" style="351" customWidth="1"/>
    <col min="9725" max="9725" width="16" style="351" customWidth="1"/>
    <col min="9726" max="9726" width="12" style="351" customWidth="1"/>
    <col min="9727" max="9727" width="11.5703125" style="351" customWidth="1"/>
    <col min="9728" max="9728" width="11.7109375" style="351" customWidth="1"/>
    <col min="9729" max="9729" width="17.5703125" style="351" customWidth="1"/>
    <col min="9730" max="9730" width="6.42578125" style="351" customWidth="1"/>
    <col min="9731" max="9731" width="29.28515625" style="351" customWidth="1"/>
    <col min="9732" max="9732" width="18.85546875" style="351" customWidth="1"/>
    <col min="9733" max="9974" width="9.140625" style="351"/>
    <col min="9975" max="9975" width="11.7109375" style="351" customWidth="1"/>
    <col min="9976" max="9976" width="16.7109375" style="351" customWidth="1"/>
    <col min="9977" max="9977" width="14.42578125" style="351" customWidth="1"/>
    <col min="9978" max="9978" width="13.140625" style="351" customWidth="1"/>
    <col min="9979" max="9979" width="13.28515625" style="351" customWidth="1"/>
    <col min="9980" max="9980" width="11.85546875" style="351" customWidth="1"/>
    <col min="9981" max="9981" width="16" style="351" customWidth="1"/>
    <col min="9982" max="9982" width="12" style="351" customWidth="1"/>
    <col min="9983" max="9983" width="11.5703125" style="351" customWidth="1"/>
    <col min="9984" max="9984" width="11.7109375" style="351" customWidth="1"/>
    <col min="9985" max="9985" width="17.5703125" style="351" customWidth="1"/>
    <col min="9986" max="9986" width="6.42578125" style="351" customWidth="1"/>
    <col min="9987" max="9987" width="29.28515625" style="351" customWidth="1"/>
    <col min="9988" max="9988" width="18.85546875" style="351" customWidth="1"/>
    <col min="9989" max="10230" width="9.140625" style="351"/>
    <col min="10231" max="10231" width="11.7109375" style="351" customWidth="1"/>
    <col min="10232" max="10232" width="16.7109375" style="351" customWidth="1"/>
    <col min="10233" max="10233" width="14.42578125" style="351" customWidth="1"/>
    <col min="10234" max="10234" width="13.140625" style="351" customWidth="1"/>
    <col min="10235" max="10235" width="13.28515625" style="351" customWidth="1"/>
    <col min="10236" max="10236" width="11.85546875" style="351" customWidth="1"/>
    <col min="10237" max="10237" width="16" style="351" customWidth="1"/>
    <col min="10238" max="10238" width="12" style="351" customWidth="1"/>
    <col min="10239" max="10239" width="11.5703125" style="351" customWidth="1"/>
    <col min="10240" max="10240" width="11.7109375" style="351" customWidth="1"/>
    <col min="10241" max="10241" width="17.5703125" style="351" customWidth="1"/>
    <col min="10242" max="10242" width="6.42578125" style="351" customWidth="1"/>
    <col min="10243" max="10243" width="29.28515625" style="351" customWidth="1"/>
    <col min="10244" max="10244" width="18.85546875" style="351" customWidth="1"/>
    <col min="10245" max="10486" width="9.140625" style="351"/>
    <col min="10487" max="10487" width="11.7109375" style="351" customWidth="1"/>
    <col min="10488" max="10488" width="16.7109375" style="351" customWidth="1"/>
    <col min="10489" max="10489" width="14.42578125" style="351" customWidth="1"/>
    <col min="10490" max="10490" width="13.140625" style="351" customWidth="1"/>
    <col min="10491" max="10491" width="13.28515625" style="351" customWidth="1"/>
    <col min="10492" max="10492" width="11.85546875" style="351" customWidth="1"/>
    <col min="10493" max="10493" width="16" style="351" customWidth="1"/>
    <col min="10494" max="10494" width="12" style="351" customWidth="1"/>
    <col min="10495" max="10495" width="11.5703125" style="351" customWidth="1"/>
    <col min="10496" max="10496" width="11.7109375" style="351" customWidth="1"/>
    <col min="10497" max="10497" width="17.5703125" style="351" customWidth="1"/>
    <col min="10498" max="10498" width="6.42578125" style="351" customWidth="1"/>
    <col min="10499" max="10499" width="29.28515625" style="351" customWidth="1"/>
    <col min="10500" max="10500" width="18.85546875" style="351" customWidth="1"/>
    <col min="10501" max="10742" width="9.140625" style="351"/>
    <col min="10743" max="10743" width="11.7109375" style="351" customWidth="1"/>
    <col min="10744" max="10744" width="16.7109375" style="351" customWidth="1"/>
    <col min="10745" max="10745" width="14.42578125" style="351" customWidth="1"/>
    <col min="10746" max="10746" width="13.140625" style="351" customWidth="1"/>
    <col min="10747" max="10747" width="13.28515625" style="351" customWidth="1"/>
    <col min="10748" max="10748" width="11.85546875" style="351" customWidth="1"/>
    <col min="10749" max="10749" width="16" style="351" customWidth="1"/>
    <col min="10750" max="10750" width="12" style="351" customWidth="1"/>
    <col min="10751" max="10751" width="11.5703125" style="351" customWidth="1"/>
    <col min="10752" max="10752" width="11.7109375" style="351" customWidth="1"/>
    <col min="10753" max="10753" width="17.5703125" style="351" customWidth="1"/>
    <col min="10754" max="10754" width="6.42578125" style="351" customWidth="1"/>
    <col min="10755" max="10755" width="29.28515625" style="351" customWidth="1"/>
    <col min="10756" max="10756" width="18.85546875" style="351" customWidth="1"/>
    <col min="10757" max="10998" width="9.140625" style="351"/>
    <col min="10999" max="10999" width="11.7109375" style="351" customWidth="1"/>
    <col min="11000" max="11000" width="16.7109375" style="351" customWidth="1"/>
    <col min="11001" max="11001" width="14.42578125" style="351" customWidth="1"/>
    <col min="11002" max="11002" width="13.140625" style="351" customWidth="1"/>
    <col min="11003" max="11003" width="13.28515625" style="351" customWidth="1"/>
    <col min="11004" max="11004" width="11.85546875" style="351" customWidth="1"/>
    <col min="11005" max="11005" width="16" style="351" customWidth="1"/>
    <col min="11006" max="11006" width="12" style="351" customWidth="1"/>
    <col min="11007" max="11007" width="11.5703125" style="351" customWidth="1"/>
    <col min="11008" max="11008" width="11.7109375" style="351" customWidth="1"/>
    <col min="11009" max="11009" width="17.5703125" style="351" customWidth="1"/>
    <col min="11010" max="11010" width="6.42578125" style="351" customWidth="1"/>
    <col min="11011" max="11011" width="29.28515625" style="351" customWidth="1"/>
    <col min="11012" max="11012" width="18.85546875" style="351" customWidth="1"/>
    <col min="11013" max="11254" width="9.140625" style="351"/>
    <col min="11255" max="11255" width="11.7109375" style="351" customWidth="1"/>
    <col min="11256" max="11256" width="16.7109375" style="351" customWidth="1"/>
    <col min="11257" max="11257" width="14.42578125" style="351" customWidth="1"/>
    <col min="11258" max="11258" width="13.140625" style="351" customWidth="1"/>
    <col min="11259" max="11259" width="13.28515625" style="351" customWidth="1"/>
    <col min="11260" max="11260" width="11.85546875" style="351" customWidth="1"/>
    <col min="11261" max="11261" width="16" style="351" customWidth="1"/>
    <col min="11262" max="11262" width="12" style="351" customWidth="1"/>
    <col min="11263" max="11263" width="11.5703125" style="351" customWidth="1"/>
    <col min="11264" max="11264" width="11.7109375" style="351" customWidth="1"/>
    <col min="11265" max="11265" width="17.5703125" style="351" customWidth="1"/>
    <col min="11266" max="11266" width="6.42578125" style="351" customWidth="1"/>
    <col min="11267" max="11267" width="29.28515625" style="351" customWidth="1"/>
    <col min="11268" max="11268" width="18.85546875" style="351" customWidth="1"/>
    <col min="11269" max="11510" width="9.140625" style="351"/>
    <col min="11511" max="11511" width="11.7109375" style="351" customWidth="1"/>
    <col min="11512" max="11512" width="16.7109375" style="351" customWidth="1"/>
    <col min="11513" max="11513" width="14.42578125" style="351" customWidth="1"/>
    <col min="11514" max="11514" width="13.140625" style="351" customWidth="1"/>
    <col min="11515" max="11515" width="13.28515625" style="351" customWidth="1"/>
    <col min="11516" max="11516" width="11.85546875" style="351" customWidth="1"/>
    <col min="11517" max="11517" width="16" style="351" customWidth="1"/>
    <col min="11518" max="11518" width="12" style="351" customWidth="1"/>
    <col min="11519" max="11519" width="11.5703125" style="351" customWidth="1"/>
    <col min="11520" max="11520" width="11.7109375" style="351" customWidth="1"/>
    <col min="11521" max="11521" width="17.5703125" style="351" customWidth="1"/>
    <col min="11522" max="11522" width="6.42578125" style="351" customWidth="1"/>
    <col min="11523" max="11523" width="29.28515625" style="351" customWidth="1"/>
    <col min="11524" max="11524" width="18.85546875" style="351" customWidth="1"/>
    <col min="11525" max="11766" width="9.140625" style="351"/>
    <col min="11767" max="11767" width="11.7109375" style="351" customWidth="1"/>
    <col min="11768" max="11768" width="16.7109375" style="351" customWidth="1"/>
    <col min="11769" max="11769" width="14.42578125" style="351" customWidth="1"/>
    <col min="11770" max="11770" width="13.140625" style="351" customWidth="1"/>
    <col min="11771" max="11771" width="13.28515625" style="351" customWidth="1"/>
    <col min="11772" max="11772" width="11.85546875" style="351" customWidth="1"/>
    <col min="11773" max="11773" width="16" style="351" customWidth="1"/>
    <col min="11774" max="11774" width="12" style="351" customWidth="1"/>
    <col min="11775" max="11775" width="11.5703125" style="351" customWidth="1"/>
    <col min="11776" max="11776" width="11.7109375" style="351" customWidth="1"/>
    <col min="11777" max="11777" width="17.5703125" style="351" customWidth="1"/>
    <col min="11778" max="11778" width="6.42578125" style="351" customWidth="1"/>
    <col min="11779" max="11779" width="29.28515625" style="351" customWidth="1"/>
    <col min="11780" max="11780" width="18.85546875" style="351" customWidth="1"/>
    <col min="11781" max="12022" width="9.140625" style="351"/>
    <col min="12023" max="12023" width="11.7109375" style="351" customWidth="1"/>
    <col min="12024" max="12024" width="16.7109375" style="351" customWidth="1"/>
    <col min="12025" max="12025" width="14.42578125" style="351" customWidth="1"/>
    <col min="12026" max="12026" width="13.140625" style="351" customWidth="1"/>
    <col min="12027" max="12027" width="13.28515625" style="351" customWidth="1"/>
    <col min="12028" max="12028" width="11.85546875" style="351" customWidth="1"/>
    <col min="12029" max="12029" width="16" style="351" customWidth="1"/>
    <col min="12030" max="12030" width="12" style="351" customWidth="1"/>
    <col min="12031" max="12031" width="11.5703125" style="351" customWidth="1"/>
    <col min="12032" max="12032" width="11.7109375" style="351" customWidth="1"/>
    <col min="12033" max="12033" width="17.5703125" style="351" customWidth="1"/>
    <col min="12034" max="12034" width="6.42578125" style="351" customWidth="1"/>
    <col min="12035" max="12035" width="29.28515625" style="351" customWidth="1"/>
    <col min="12036" max="12036" width="18.85546875" style="351" customWidth="1"/>
    <col min="12037" max="12278" width="9.140625" style="351"/>
    <col min="12279" max="12279" width="11.7109375" style="351" customWidth="1"/>
    <col min="12280" max="12280" width="16.7109375" style="351" customWidth="1"/>
    <col min="12281" max="12281" width="14.42578125" style="351" customWidth="1"/>
    <col min="12282" max="12282" width="13.140625" style="351" customWidth="1"/>
    <col min="12283" max="12283" width="13.28515625" style="351" customWidth="1"/>
    <col min="12284" max="12284" width="11.85546875" style="351" customWidth="1"/>
    <col min="12285" max="12285" width="16" style="351" customWidth="1"/>
    <col min="12286" max="12286" width="12" style="351" customWidth="1"/>
    <col min="12287" max="12287" width="11.5703125" style="351" customWidth="1"/>
    <col min="12288" max="12288" width="11.7109375" style="351" customWidth="1"/>
    <col min="12289" max="12289" width="17.5703125" style="351" customWidth="1"/>
    <col min="12290" max="12290" width="6.42578125" style="351" customWidth="1"/>
    <col min="12291" max="12291" width="29.28515625" style="351" customWidth="1"/>
    <col min="12292" max="12292" width="18.85546875" style="351" customWidth="1"/>
    <col min="12293" max="12534" width="9.140625" style="351"/>
    <col min="12535" max="12535" width="11.7109375" style="351" customWidth="1"/>
    <col min="12536" max="12536" width="16.7109375" style="351" customWidth="1"/>
    <col min="12537" max="12537" width="14.42578125" style="351" customWidth="1"/>
    <col min="12538" max="12538" width="13.140625" style="351" customWidth="1"/>
    <col min="12539" max="12539" width="13.28515625" style="351" customWidth="1"/>
    <col min="12540" max="12540" width="11.85546875" style="351" customWidth="1"/>
    <col min="12541" max="12541" width="16" style="351" customWidth="1"/>
    <col min="12542" max="12542" width="12" style="351" customWidth="1"/>
    <col min="12543" max="12543" width="11.5703125" style="351" customWidth="1"/>
    <col min="12544" max="12544" width="11.7109375" style="351" customWidth="1"/>
    <col min="12545" max="12545" width="17.5703125" style="351" customWidth="1"/>
    <col min="12546" max="12546" width="6.42578125" style="351" customWidth="1"/>
    <col min="12547" max="12547" width="29.28515625" style="351" customWidth="1"/>
    <col min="12548" max="12548" width="18.85546875" style="351" customWidth="1"/>
    <col min="12549" max="12790" width="9.140625" style="351"/>
    <col min="12791" max="12791" width="11.7109375" style="351" customWidth="1"/>
    <col min="12792" max="12792" width="16.7109375" style="351" customWidth="1"/>
    <col min="12793" max="12793" width="14.42578125" style="351" customWidth="1"/>
    <col min="12794" max="12794" width="13.140625" style="351" customWidth="1"/>
    <col min="12795" max="12795" width="13.28515625" style="351" customWidth="1"/>
    <col min="12796" max="12796" width="11.85546875" style="351" customWidth="1"/>
    <col min="12797" max="12797" width="16" style="351" customWidth="1"/>
    <col min="12798" max="12798" width="12" style="351" customWidth="1"/>
    <col min="12799" max="12799" width="11.5703125" style="351" customWidth="1"/>
    <col min="12800" max="12800" width="11.7109375" style="351" customWidth="1"/>
    <col min="12801" max="12801" width="17.5703125" style="351" customWidth="1"/>
    <col min="12802" max="12802" width="6.42578125" style="351" customWidth="1"/>
    <col min="12803" max="12803" width="29.28515625" style="351" customWidth="1"/>
    <col min="12804" max="12804" width="18.85546875" style="351" customWidth="1"/>
    <col min="12805" max="13046" width="9.140625" style="351"/>
    <col min="13047" max="13047" width="11.7109375" style="351" customWidth="1"/>
    <col min="13048" max="13048" width="16.7109375" style="351" customWidth="1"/>
    <col min="13049" max="13049" width="14.42578125" style="351" customWidth="1"/>
    <col min="13050" max="13050" width="13.140625" style="351" customWidth="1"/>
    <col min="13051" max="13051" width="13.28515625" style="351" customWidth="1"/>
    <col min="13052" max="13052" width="11.85546875" style="351" customWidth="1"/>
    <col min="13053" max="13053" width="16" style="351" customWidth="1"/>
    <col min="13054" max="13054" width="12" style="351" customWidth="1"/>
    <col min="13055" max="13055" width="11.5703125" style="351" customWidth="1"/>
    <col min="13056" max="13056" width="11.7109375" style="351" customWidth="1"/>
    <col min="13057" max="13057" width="17.5703125" style="351" customWidth="1"/>
    <col min="13058" max="13058" width="6.42578125" style="351" customWidth="1"/>
    <col min="13059" max="13059" width="29.28515625" style="351" customWidth="1"/>
    <col min="13060" max="13060" width="18.85546875" style="351" customWidth="1"/>
    <col min="13061" max="13302" width="9.140625" style="351"/>
    <col min="13303" max="13303" width="11.7109375" style="351" customWidth="1"/>
    <col min="13304" max="13304" width="16.7109375" style="351" customWidth="1"/>
    <col min="13305" max="13305" width="14.42578125" style="351" customWidth="1"/>
    <col min="13306" max="13306" width="13.140625" style="351" customWidth="1"/>
    <col min="13307" max="13307" width="13.28515625" style="351" customWidth="1"/>
    <col min="13308" max="13308" width="11.85546875" style="351" customWidth="1"/>
    <col min="13309" max="13309" width="16" style="351" customWidth="1"/>
    <col min="13310" max="13310" width="12" style="351" customWidth="1"/>
    <col min="13311" max="13311" width="11.5703125" style="351" customWidth="1"/>
    <col min="13312" max="13312" width="11.7109375" style="351" customWidth="1"/>
    <col min="13313" max="13313" width="17.5703125" style="351" customWidth="1"/>
    <col min="13314" max="13314" width="6.42578125" style="351" customWidth="1"/>
    <col min="13315" max="13315" width="29.28515625" style="351" customWidth="1"/>
    <col min="13316" max="13316" width="18.85546875" style="351" customWidth="1"/>
    <col min="13317" max="13558" width="9.140625" style="351"/>
    <col min="13559" max="13559" width="11.7109375" style="351" customWidth="1"/>
    <col min="13560" max="13560" width="16.7109375" style="351" customWidth="1"/>
    <col min="13561" max="13561" width="14.42578125" style="351" customWidth="1"/>
    <col min="13562" max="13562" width="13.140625" style="351" customWidth="1"/>
    <col min="13563" max="13563" width="13.28515625" style="351" customWidth="1"/>
    <col min="13564" max="13564" width="11.85546875" style="351" customWidth="1"/>
    <col min="13565" max="13565" width="16" style="351" customWidth="1"/>
    <col min="13566" max="13566" width="12" style="351" customWidth="1"/>
    <col min="13567" max="13567" width="11.5703125" style="351" customWidth="1"/>
    <col min="13568" max="13568" width="11.7109375" style="351" customWidth="1"/>
    <col min="13569" max="13569" width="17.5703125" style="351" customWidth="1"/>
    <col min="13570" max="13570" width="6.42578125" style="351" customWidth="1"/>
    <col min="13571" max="13571" width="29.28515625" style="351" customWidth="1"/>
    <col min="13572" max="13572" width="18.85546875" style="351" customWidth="1"/>
    <col min="13573" max="13814" width="9.140625" style="351"/>
    <col min="13815" max="13815" width="11.7109375" style="351" customWidth="1"/>
    <col min="13816" max="13816" width="16.7109375" style="351" customWidth="1"/>
    <col min="13817" max="13817" width="14.42578125" style="351" customWidth="1"/>
    <col min="13818" max="13818" width="13.140625" style="351" customWidth="1"/>
    <col min="13819" max="13819" width="13.28515625" style="351" customWidth="1"/>
    <col min="13820" max="13820" width="11.85546875" style="351" customWidth="1"/>
    <col min="13821" max="13821" width="16" style="351" customWidth="1"/>
    <col min="13822" max="13822" width="12" style="351" customWidth="1"/>
    <col min="13823" max="13823" width="11.5703125" style="351" customWidth="1"/>
    <col min="13824" max="13824" width="11.7109375" style="351" customWidth="1"/>
    <col min="13825" max="13825" width="17.5703125" style="351" customWidth="1"/>
    <col min="13826" max="13826" width="6.42578125" style="351" customWidth="1"/>
    <col min="13827" max="13827" width="29.28515625" style="351" customWidth="1"/>
    <col min="13828" max="13828" width="18.85546875" style="351" customWidth="1"/>
    <col min="13829" max="14070" width="9.140625" style="351"/>
    <col min="14071" max="14071" width="11.7109375" style="351" customWidth="1"/>
    <col min="14072" max="14072" width="16.7109375" style="351" customWidth="1"/>
    <col min="14073" max="14073" width="14.42578125" style="351" customWidth="1"/>
    <col min="14074" max="14074" width="13.140625" style="351" customWidth="1"/>
    <col min="14075" max="14075" width="13.28515625" style="351" customWidth="1"/>
    <col min="14076" max="14076" width="11.85546875" style="351" customWidth="1"/>
    <col min="14077" max="14077" width="16" style="351" customWidth="1"/>
    <col min="14078" max="14078" width="12" style="351" customWidth="1"/>
    <col min="14079" max="14079" width="11.5703125" style="351" customWidth="1"/>
    <col min="14080" max="14080" width="11.7109375" style="351" customWidth="1"/>
    <col min="14081" max="14081" width="17.5703125" style="351" customWidth="1"/>
    <col min="14082" max="14082" width="6.42578125" style="351" customWidth="1"/>
    <col min="14083" max="14083" width="29.28515625" style="351" customWidth="1"/>
    <col min="14084" max="14084" width="18.85546875" style="351" customWidth="1"/>
    <col min="14085" max="14326" width="9.140625" style="351"/>
    <col min="14327" max="14327" width="11.7109375" style="351" customWidth="1"/>
    <col min="14328" max="14328" width="16.7109375" style="351" customWidth="1"/>
    <col min="14329" max="14329" width="14.42578125" style="351" customWidth="1"/>
    <col min="14330" max="14330" width="13.140625" style="351" customWidth="1"/>
    <col min="14331" max="14331" width="13.28515625" style="351" customWidth="1"/>
    <col min="14332" max="14332" width="11.85546875" style="351" customWidth="1"/>
    <col min="14333" max="14333" width="16" style="351" customWidth="1"/>
    <col min="14334" max="14334" width="12" style="351" customWidth="1"/>
    <col min="14335" max="14335" width="11.5703125" style="351" customWidth="1"/>
    <col min="14336" max="14336" width="11.7109375" style="351" customWidth="1"/>
    <col min="14337" max="14337" width="17.5703125" style="351" customWidth="1"/>
    <col min="14338" max="14338" width="6.42578125" style="351" customWidth="1"/>
    <col min="14339" max="14339" width="29.28515625" style="351" customWidth="1"/>
    <col min="14340" max="14340" width="18.85546875" style="351" customWidth="1"/>
    <col min="14341" max="14582" width="9.140625" style="351"/>
    <col min="14583" max="14583" width="11.7109375" style="351" customWidth="1"/>
    <col min="14584" max="14584" width="16.7109375" style="351" customWidth="1"/>
    <col min="14585" max="14585" width="14.42578125" style="351" customWidth="1"/>
    <col min="14586" max="14586" width="13.140625" style="351" customWidth="1"/>
    <col min="14587" max="14587" width="13.28515625" style="351" customWidth="1"/>
    <col min="14588" max="14588" width="11.85546875" style="351" customWidth="1"/>
    <col min="14589" max="14589" width="16" style="351" customWidth="1"/>
    <col min="14590" max="14590" width="12" style="351" customWidth="1"/>
    <col min="14591" max="14591" width="11.5703125" style="351" customWidth="1"/>
    <col min="14592" max="14592" width="11.7109375" style="351" customWidth="1"/>
    <col min="14593" max="14593" width="17.5703125" style="351" customWidth="1"/>
    <col min="14594" max="14594" width="6.42578125" style="351" customWidth="1"/>
    <col min="14595" max="14595" width="29.28515625" style="351" customWidth="1"/>
    <col min="14596" max="14596" width="18.85546875" style="351" customWidth="1"/>
    <col min="14597" max="14838" width="9.140625" style="351"/>
    <col min="14839" max="14839" width="11.7109375" style="351" customWidth="1"/>
    <col min="14840" max="14840" width="16.7109375" style="351" customWidth="1"/>
    <col min="14841" max="14841" width="14.42578125" style="351" customWidth="1"/>
    <col min="14842" max="14842" width="13.140625" style="351" customWidth="1"/>
    <col min="14843" max="14843" width="13.28515625" style="351" customWidth="1"/>
    <col min="14844" max="14844" width="11.85546875" style="351" customWidth="1"/>
    <col min="14845" max="14845" width="16" style="351" customWidth="1"/>
    <col min="14846" max="14846" width="12" style="351" customWidth="1"/>
    <col min="14847" max="14847" width="11.5703125" style="351" customWidth="1"/>
    <col min="14848" max="14848" width="11.7109375" style="351" customWidth="1"/>
    <col min="14849" max="14849" width="17.5703125" style="351" customWidth="1"/>
    <col min="14850" max="14850" width="6.42578125" style="351" customWidth="1"/>
    <col min="14851" max="14851" width="29.28515625" style="351" customWidth="1"/>
    <col min="14852" max="14852" width="18.85546875" style="351" customWidth="1"/>
    <col min="14853" max="15094" width="9.140625" style="351"/>
    <col min="15095" max="15095" width="11.7109375" style="351" customWidth="1"/>
    <col min="15096" max="15096" width="16.7109375" style="351" customWidth="1"/>
    <col min="15097" max="15097" width="14.42578125" style="351" customWidth="1"/>
    <col min="15098" max="15098" width="13.140625" style="351" customWidth="1"/>
    <col min="15099" max="15099" width="13.28515625" style="351" customWidth="1"/>
    <col min="15100" max="15100" width="11.85546875" style="351" customWidth="1"/>
    <col min="15101" max="15101" width="16" style="351" customWidth="1"/>
    <col min="15102" max="15102" width="12" style="351" customWidth="1"/>
    <col min="15103" max="15103" width="11.5703125" style="351" customWidth="1"/>
    <col min="15104" max="15104" width="11.7109375" style="351" customWidth="1"/>
    <col min="15105" max="15105" width="17.5703125" style="351" customWidth="1"/>
    <col min="15106" max="15106" width="6.42578125" style="351" customWidth="1"/>
    <col min="15107" max="15107" width="29.28515625" style="351" customWidth="1"/>
    <col min="15108" max="15108" width="18.85546875" style="351" customWidth="1"/>
    <col min="15109" max="15350" width="9.140625" style="351"/>
    <col min="15351" max="15351" width="11.7109375" style="351" customWidth="1"/>
    <col min="15352" max="15352" width="16.7109375" style="351" customWidth="1"/>
    <col min="15353" max="15353" width="14.42578125" style="351" customWidth="1"/>
    <col min="15354" max="15354" width="13.140625" style="351" customWidth="1"/>
    <col min="15355" max="15355" width="13.28515625" style="351" customWidth="1"/>
    <col min="15356" max="15356" width="11.85546875" style="351" customWidth="1"/>
    <col min="15357" max="15357" width="16" style="351" customWidth="1"/>
    <col min="15358" max="15358" width="12" style="351" customWidth="1"/>
    <col min="15359" max="15359" width="11.5703125" style="351" customWidth="1"/>
    <col min="15360" max="15360" width="11.7109375" style="351" customWidth="1"/>
    <col min="15361" max="15361" width="17.5703125" style="351" customWidth="1"/>
    <col min="15362" max="15362" width="6.42578125" style="351" customWidth="1"/>
    <col min="15363" max="15363" width="29.28515625" style="351" customWidth="1"/>
    <col min="15364" max="15364" width="18.85546875" style="351" customWidth="1"/>
    <col min="15365" max="15606" width="9.140625" style="351"/>
    <col min="15607" max="15607" width="11.7109375" style="351" customWidth="1"/>
    <col min="15608" max="15608" width="16.7109375" style="351" customWidth="1"/>
    <col min="15609" max="15609" width="14.42578125" style="351" customWidth="1"/>
    <col min="15610" max="15610" width="13.140625" style="351" customWidth="1"/>
    <col min="15611" max="15611" width="13.28515625" style="351" customWidth="1"/>
    <col min="15612" max="15612" width="11.85546875" style="351" customWidth="1"/>
    <col min="15613" max="15613" width="16" style="351" customWidth="1"/>
    <col min="15614" max="15614" width="12" style="351" customWidth="1"/>
    <col min="15615" max="15615" width="11.5703125" style="351" customWidth="1"/>
    <col min="15616" max="15616" width="11.7109375" style="351" customWidth="1"/>
    <col min="15617" max="15617" width="17.5703125" style="351" customWidth="1"/>
    <col min="15618" max="15618" width="6.42578125" style="351" customWidth="1"/>
    <col min="15619" max="15619" width="29.28515625" style="351" customWidth="1"/>
    <col min="15620" max="15620" width="18.85546875" style="351" customWidth="1"/>
    <col min="15621" max="15862" width="9.140625" style="351"/>
    <col min="15863" max="15863" width="11.7109375" style="351" customWidth="1"/>
    <col min="15864" max="15864" width="16.7109375" style="351" customWidth="1"/>
    <col min="15865" max="15865" width="14.42578125" style="351" customWidth="1"/>
    <col min="15866" max="15866" width="13.140625" style="351" customWidth="1"/>
    <col min="15867" max="15867" width="13.28515625" style="351" customWidth="1"/>
    <col min="15868" max="15868" width="11.85546875" style="351" customWidth="1"/>
    <col min="15869" max="15869" width="16" style="351" customWidth="1"/>
    <col min="15870" max="15870" width="12" style="351" customWidth="1"/>
    <col min="15871" max="15871" width="11.5703125" style="351" customWidth="1"/>
    <col min="15872" max="15872" width="11.7109375" style="351" customWidth="1"/>
    <col min="15873" max="15873" width="17.5703125" style="351" customWidth="1"/>
    <col min="15874" max="15874" width="6.42578125" style="351" customWidth="1"/>
    <col min="15875" max="15875" width="29.28515625" style="351" customWidth="1"/>
    <col min="15876" max="15876" width="18.85546875" style="351" customWidth="1"/>
    <col min="15877" max="16118" width="9.140625" style="351"/>
    <col min="16119" max="16119" width="11.7109375" style="351" customWidth="1"/>
    <col min="16120" max="16120" width="16.7109375" style="351" customWidth="1"/>
    <col min="16121" max="16121" width="14.42578125" style="351" customWidth="1"/>
    <col min="16122" max="16122" width="13.140625" style="351" customWidth="1"/>
    <col min="16123" max="16123" width="13.28515625" style="351" customWidth="1"/>
    <col min="16124" max="16124" width="11.85546875" style="351" customWidth="1"/>
    <col min="16125" max="16125" width="16" style="351" customWidth="1"/>
    <col min="16126" max="16126" width="12" style="351" customWidth="1"/>
    <col min="16127" max="16127" width="11.5703125" style="351" customWidth="1"/>
    <col min="16128" max="16128" width="11.7109375" style="351" customWidth="1"/>
    <col min="16129" max="16129" width="17.5703125" style="351" customWidth="1"/>
    <col min="16130" max="16130" width="6.42578125" style="351" customWidth="1"/>
    <col min="16131" max="16131" width="29.28515625" style="351" customWidth="1"/>
    <col min="16132" max="16132" width="18.85546875" style="351" customWidth="1"/>
    <col min="16133" max="16384" width="9.140625" style="351"/>
  </cols>
  <sheetData>
    <row r="1" spans="1:17" x14ac:dyDescent="0.2">
      <c r="J1" s="352" t="s">
        <v>618</v>
      </c>
    </row>
    <row r="2" spans="1:17" ht="33.75" customHeight="1" x14ac:dyDescent="0.2">
      <c r="B2" s="670" t="s">
        <v>928</v>
      </c>
      <c r="C2" s="670"/>
      <c r="D2" s="670"/>
      <c r="E2" s="670"/>
      <c r="F2" s="670"/>
      <c r="G2" s="670"/>
      <c r="H2" s="670"/>
      <c r="I2" s="670"/>
      <c r="J2" s="670"/>
      <c r="N2" s="353"/>
    </row>
    <row r="3" spans="1:17" s="357" customFormat="1" ht="45" customHeight="1" x14ac:dyDescent="0.25">
      <c r="A3" s="354"/>
      <c r="B3" s="678" t="s">
        <v>931</v>
      </c>
      <c r="C3" s="360" t="s">
        <v>186</v>
      </c>
      <c r="D3" s="361" t="s">
        <v>187</v>
      </c>
      <c r="E3" s="673" t="s">
        <v>188</v>
      </c>
      <c r="F3" s="668" t="s">
        <v>189</v>
      </c>
      <c r="G3" s="361" t="s">
        <v>929</v>
      </c>
      <c r="H3" s="361" t="s">
        <v>190</v>
      </c>
      <c r="I3" s="659" t="s">
        <v>191</v>
      </c>
      <c r="J3" s="361" t="s">
        <v>192</v>
      </c>
      <c r="K3" s="356"/>
      <c r="L3" s="356"/>
      <c r="M3" s="356"/>
      <c r="N3" s="356"/>
    </row>
    <row r="4" spans="1:17" s="359" customFormat="1" ht="27.75" customHeight="1" x14ac:dyDescent="0.25">
      <c r="A4" s="358"/>
      <c r="B4" s="679"/>
      <c r="C4" s="362" t="s">
        <v>193</v>
      </c>
      <c r="D4" s="363" t="s">
        <v>194</v>
      </c>
      <c r="E4" s="674"/>
      <c r="F4" s="669"/>
      <c r="G4" s="363" t="s">
        <v>194</v>
      </c>
      <c r="H4" s="363" t="s">
        <v>194</v>
      </c>
      <c r="I4" s="660"/>
      <c r="J4" s="364" t="s">
        <v>930</v>
      </c>
      <c r="K4" s="355"/>
      <c r="L4" s="355"/>
      <c r="M4" s="355"/>
      <c r="N4" s="355"/>
    </row>
    <row r="5" spans="1:17" ht="13.5" customHeight="1" x14ac:dyDescent="0.2">
      <c r="A5" s="671"/>
      <c r="B5" s="675" t="s">
        <v>195</v>
      </c>
      <c r="C5" s="365" t="s">
        <v>196</v>
      </c>
      <c r="D5" s="634">
        <v>841930.56</v>
      </c>
      <c r="E5" s="366">
        <v>37391</v>
      </c>
      <c r="F5" s="367" t="s">
        <v>197</v>
      </c>
      <c r="G5" s="634">
        <f>2578.7+2674.11+2768.68+2563.87+2784.86+2667.11+2634.3+2767.9+2570.64+2825.58+2752.95+2761.89</f>
        <v>32350.59</v>
      </c>
      <c r="H5" s="634">
        <f>322848.93+27688.16+G5+28739.07+29896.68+31097.95</f>
        <v>472621.38</v>
      </c>
      <c r="I5" s="647">
        <v>2032</v>
      </c>
      <c r="J5" s="650">
        <f>D5-H5</f>
        <v>369309.18000000005</v>
      </c>
      <c r="M5" s="352"/>
      <c r="O5" s="351"/>
      <c r="P5" s="351"/>
      <c r="Q5" s="351"/>
    </row>
    <row r="6" spans="1:17" ht="14.25" customHeight="1" x14ac:dyDescent="0.2">
      <c r="A6" s="671"/>
      <c r="B6" s="676"/>
      <c r="C6" s="370">
        <v>37313</v>
      </c>
      <c r="D6" s="623"/>
      <c r="E6" s="372">
        <v>119634</v>
      </c>
      <c r="F6" s="372">
        <v>119634</v>
      </c>
      <c r="G6" s="623"/>
      <c r="H6" s="623"/>
      <c r="I6" s="648"/>
      <c r="J6" s="645"/>
      <c r="M6" s="352"/>
      <c r="O6" s="351"/>
      <c r="P6" s="351"/>
      <c r="Q6" s="351"/>
    </row>
    <row r="7" spans="1:17" ht="14.25" customHeight="1" x14ac:dyDescent="0.2">
      <c r="A7" s="671"/>
      <c r="B7" s="677"/>
      <c r="C7" s="373"/>
      <c r="D7" s="624"/>
      <c r="E7" s="374">
        <f>E6/30.126</f>
        <v>3971.1212905795655</v>
      </c>
      <c r="F7" s="375">
        <f>F6/30.126</f>
        <v>3971.1212905795655</v>
      </c>
      <c r="G7" s="624"/>
      <c r="H7" s="624"/>
      <c r="I7" s="649"/>
      <c r="J7" s="651"/>
      <c r="M7" s="352"/>
      <c r="O7" s="351"/>
      <c r="P7" s="351"/>
      <c r="Q7" s="351"/>
    </row>
    <row r="8" spans="1:17" ht="12.75" customHeight="1" x14ac:dyDescent="0.2">
      <c r="A8" s="671"/>
      <c r="B8" s="680" t="s">
        <v>550</v>
      </c>
      <c r="C8" s="376" t="s">
        <v>198</v>
      </c>
      <c r="D8" s="622">
        <v>1529840</v>
      </c>
      <c r="E8" s="377" t="s">
        <v>199</v>
      </c>
      <c r="F8" s="378" t="s">
        <v>200</v>
      </c>
      <c r="G8" s="622">
        <f>3742.62+3819.36+3895.75+3716.31+3901.67+3795.86+3762.95+3874.51+3697.81+3916.47+3848.01+3851.22</f>
        <v>45822.54</v>
      </c>
      <c r="H8" s="622">
        <f>25885.45+44046.14+G8+44450.85+44903.77+45360.35</f>
        <v>250469.1</v>
      </c>
      <c r="I8" s="666" t="s">
        <v>201</v>
      </c>
      <c r="J8" s="644">
        <f>D8-H8</f>
        <v>1279370.8999999999</v>
      </c>
      <c r="M8" s="352"/>
      <c r="O8" s="351"/>
      <c r="P8" s="351"/>
      <c r="Q8" s="351"/>
    </row>
    <row r="9" spans="1:17" ht="14.25" customHeight="1" x14ac:dyDescent="0.2">
      <c r="A9" s="671"/>
      <c r="B9" s="676"/>
      <c r="C9" s="370">
        <v>43012</v>
      </c>
      <c r="D9" s="623"/>
      <c r="E9" s="381">
        <v>4920.57</v>
      </c>
      <c r="F9" s="372" t="s">
        <v>202</v>
      </c>
      <c r="G9" s="623"/>
      <c r="H9" s="623"/>
      <c r="I9" s="648"/>
      <c r="J9" s="645"/>
      <c r="M9" s="352"/>
      <c r="O9" s="351"/>
      <c r="P9" s="351"/>
      <c r="Q9" s="351"/>
    </row>
    <row r="10" spans="1:17" ht="14.25" customHeight="1" x14ac:dyDescent="0.2">
      <c r="A10" s="671"/>
      <c r="B10" s="681"/>
      <c r="C10" s="382"/>
      <c r="D10" s="637"/>
      <c r="E10" s="383"/>
      <c r="F10" s="384">
        <v>4920.57</v>
      </c>
      <c r="G10" s="637"/>
      <c r="H10" s="637"/>
      <c r="I10" s="667"/>
      <c r="J10" s="646"/>
      <c r="M10" s="352"/>
      <c r="O10" s="351"/>
      <c r="P10" s="351"/>
      <c r="Q10" s="351"/>
    </row>
    <row r="11" spans="1:17" ht="12.75" customHeight="1" x14ac:dyDescent="0.2">
      <c r="A11" s="671"/>
      <c r="B11" s="675" t="s">
        <v>551</v>
      </c>
      <c r="C11" s="365" t="s">
        <v>203</v>
      </c>
      <c r="D11" s="634">
        <v>770210</v>
      </c>
      <c r="E11" s="385"/>
      <c r="F11" s="367" t="s">
        <v>200</v>
      </c>
      <c r="G11" s="634">
        <f>1874.04+1913.31+1952.4+1860.46+1955.36+1901.13+1884.23+1941.35+1850.77+1962.78+1927.67+1929.26</f>
        <v>22952.76</v>
      </c>
      <c r="H11" s="634">
        <f>2006.62+22063.38+G11+22265.68+22492.55+22721.27</f>
        <v>114502.26000000001</v>
      </c>
      <c r="I11" s="647" t="s">
        <v>460</v>
      </c>
      <c r="J11" s="650">
        <f>D11-H11</f>
        <v>655707.74</v>
      </c>
      <c r="M11" s="352"/>
      <c r="O11" s="351"/>
      <c r="P11" s="351"/>
      <c r="Q11" s="351"/>
    </row>
    <row r="12" spans="1:17" ht="15" customHeight="1" x14ac:dyDescent="0.2">
      <c r="A12" s="671"/>
      <c r="B12" s="676"/>
      <c r="C12" s="370">
        <v>42153</v>
      </c>
      <c r="D12" s="623"/>
      <c r="E12" s="381">
        <v>2477.3000000000002</v>
      </c>
      <c r="F12" s="372" t="s">
        <v>202</v>
      </c>
      <c r="G12" s="623"/>
      <c r="H12" s="623"/>
      <c r="I12" s="648"/>
      <c r="J12" s="645"/>
      <c r="M12" s="352"/>
      <c r="O12" s="351"/>
      <c r="P12" s="351"/>
      <c r="Q12" s="351"/>
    </row>
    <row r="13" spans="1:17" ht="14.25" customHeight="1" x14ac:dyDescent="0.2">
      <c r="A13" s="671"/>
      <c r="B13" s="677"/>
      <c r="C13" s="373"/>
      <c r="D13" s="624"/>
      <c r="E13" s="374"/>
      <c r="F13" s="375">
        <v>2477.3000000000002</v>
      </c>
      <c r="G13" s="624"/>
      <c r="H13" s="624"/>
      <c r="I13" s="649"/>
      <c r="J13" s="651"/>
      <c r="M13" s="352"/>
      <c r="O13" s="351"/>
      <c r="P13" s="351"/>
      <c r="Q13" s="351"/>
    </row>
    <row r="14" spans="1:17" ht="14.25" customHeight="1" x14ac:dyDescent="0.2">
      <c r="A14" s="671"/>
      <c r="B14" s="664" t="s">
        <v>204</v>
      </c>
      <c r="C14" s="386" t="s">
        <v>205</v>
      </c>
      <c r="D14" s="622">
        <f>368304.35+431752.15+120352.68+136825.05+133512.73</f>
        <v>1190746.96</v>
      </c>
      <c r="E14" s="377" t="s">
        <v>206</v>
      </c>
      <c r="F14" s="387" t="s">
        <v>207</v>
      </c>
      <c r="G14" s="621">
        <v>53506.96</v>
      </c>
      <c r="H14" s="622">
        <f>631800+126360+G14+126360+126360+126360</f>
        <v>1190746.96</v>
      </c>
      <c r="I14" s="625">
        <v>45107</v>
      </c>
      <c r="J14" s="618">
        <f>D14-H14</f>
        <v>0</v>
      </c>
      <c r="M14" s="352"/>
      <c r="O14" s="351"/>
      <c r="P14" s="351"/>
      <c r="Q14" s="351"/>
    </row>
    <row r="15" spans="1:17" ht="14.25" customHeight="1" x14ac:dyDescent="0.2">
      <c r="A15" s="671"/>
      <c r="B15" s="662"/>
      <c r="C15" s="370">
        <v>41470</v>
      </c>
      <c r="D15" s="623"/>
      <c r="E15" s="389">
        <v>10530</v>
      </c>
      <c r="F15" s="390"/>
      <c r="G15" s="621"/>
      <c r="H15" s="623"/>
      <c r="I15" s="626"/>
      <c r="J15" s="619"/>
      <c r="M15" s="352"/>
      <c r="O15" s="351"/>
      <c r="P15" s="351"/>
      <c r="Q15" s="351"/>
    </row>
    <row r="16" spans="1:17" ht="14.25" customHeight="1" x14ac:dyDescent="0.2">
      <c r="A16" s="671"/>
      <c r="B16" s="665"/>
      <c r="C16" s="382" t="s">
        <v>208</v>
      </c>
      <c r="D16" s="637"/>
      <c r="E16" s="384"/>
      <c r="F16" s="392" t="s">
        <v>209</v>
      </c>
      <c r="G16" s="621"/>
      <c r="H16" s="637"/>
      <c r="I16" s="629"/>
      <c r="J16" s="620"/>
      <c r="M16" s="352"/>
      <c r="O16" s="351"/>
      <c r="P16" s="351"/>
      <c r="Q16" s="351"/>
    </row>
    <row r="17" spans="1:17" ht="14.25" customHeight="1" x14ac:dyDescent="0.2">
      <c r="A17" s="671"/>
      <c r="B17" s="661" t="s">
        <v>204</v>
      </c>
      <c r="C17" s="366" t="s">
        <v>210</v>
      </c>
      <c r="D17" s="634">
        <v>1000000</v>
      </c>
      <c r="E17" s="385" t="s">
        <v>211</v>
      </c>
      <c r="F17" s="394" t="s">
        <v>212</v>
      </c>
      <c r="G17" s="621">
        <v>100008</v>
      </c>
      <c r="H17" s="634">
        <f>200016+100008+G17+100008+100008+100008</f>
        <v>700056</v>
      </c>
      <c r="I17" s="635">
        <v>46387</v>
      </c>
      <c r="J17" s="636">
        <f>D17-H17</f>
        <v>299944</v>
      </c>
      <c r="M17" s="352"/>
      <c r="O17" s="351"/>
      <c r="P17" s="351"/>
      <c r="Q17" s="351"/>
    </row>
    <row r="18" spans="1:17" ht="14.25" customHeight="1" x14ac:dyDescent="0.2">
      <c r="A18" s="671"/>
      <c r="B18" s="662"/>
      <c r="C18" s="370">
        <v>42655</v>
      </c>
      <c r="D18" s="623"/>
      <c r="E18" s="389">
        <v>8334</v>
      </c>
      <c r="F18" s="390"/>
      <c r="G18" s="621"/>
      <c r="H18" s="623"/>
      <c r="I18" s="626"/>
      <c r="J18" s="619"/>
      <c r="M18" s="352"/>
      <c r="O18" s="351"/>
      <c r="P18" s="351"/>
      <c r="Q18" s="351"/>
    </row>
    <row r="19" spans="1:17" ht="14.25" customHeight="1" x14ac:dyDescent="0.2">
      <c r="A19" s="671"/>
      <c r="B19" s="663"/>
      <c r="C19" s="373"/>
      <c r="D19" s="624"/>
      <c r="E19" s="375"/>
      <c r="F19" s="396" t="s">
        <v>213</v>
      </c>
      <c r="G19" s="621"/>
      <c r="H19" s="624"/>
      <c r="I19" s="627"/>
      <c r="J19" s="628"/>
      <c r="M19" s="352"/>
      <c r="O19" s="351"/>
      <c r="P19" s="351"/>
      <c r="Q19" s="351"/>
    </row>
    <row r="20" spans="1:17" ht="14.25" customHeight="1" x14ac:dyDescent="0.2">
      <c r="A20" s="671"/>
      <c r="B20" s="664" t="s">
        <v>204</v>
      </c>
      <c r="C20" s="386" t="s">
        <v>214</v>
      </c>
      <c r="D20" s="622">
        <v>3210000</v>
      </c>
      <c r="E20" s="377" t="s">
        <v>215</v>
      </c>
      <c r="F20" s="387" t="s">
        <v>216</v>
      </c>
      <c r="G20" s="621">
        <v>321000</v>
      </c>
      <c r="H20" s="622">
        <f>321000+G20+321000+321000+321000</f>
        <v>1605000</v>
      </c>
      <c r="I20" s="625">
        <v>47118</v>
      </c>
      <c r="J20" s="618">
        <f>D20-H20</f>
        <v>1605000</v>
      </c>
      <c r="M20" s="352"/>
      <c r="O20" s="351"/>
      <c r="P20" s="351"/>
      <c r="Q20" s="351"/>
    </row>
    <row r="21" spans="1:17" ht="14.25" customHeight="1" x14ac:dyDescent="0.2">
      <c r="A21" s="671"/>
      <c r="B21" s="662"/>
      <c r="C21" s="370">
        <v>43299</v>
      </c>
      <c r="D21" s="623"/>
      <c r="E21" s="389">
        <v>26750</v>
      </c>
      <c r="F21" s="390"/>
      <c r="G21" s="621"/>
      <c r="H21" s="623"/>
      <c r="I21" s="626"/>
      <c r="J21" s="619"/>
      <c r="M21" s="352"/>
      <c r="O21" s="351"/>
      <c r="P21" s="351"/>
      <c r="Q21" s="351"/>
    </row>
    <row r="22" spans="1:17" ht="14.25" customHeight="1" x14ac:dyDescent="0.2">
      <c r="A22" s="671"/>
      <c r="B22" s="665"/>
      <c r="C22" s="382"/>
      <c r="D22" s="637"/>
      <c r="E22" s="384"/>
      <c r="F22" s="392" t="s">
        <v>217</v>
      </c>
      <c r="G22" s="621"/>
      <c r="H22" s="637"/>
      <c r="I22" s="629"/>
      <c r="J22" s="620"/>
      <c r="M22" s="352"/>
      <c r="O22" s="351"/>
      <c r="P22" s="351"/>
      <c r="Q22" s="351"/>
    </row>
    <row r="23" spans="1:17" ht="15" customHeight="1" x14ac:dyDescent="0.2">
      <c r="A23" s="671"/>
      <c r="B23" s="661" t="s">
        <v>204</v>
      </c>
      <c r="C23" s="366" t="s">
        <v>454</v>
      </c>
      <c r="D23" s="634">
        <v>2050000</v>
      </c>
      <c r="E23" s="385" t="s">
        <v>455</v>
      </c>
      <c r="F23" s="394" t="s">
        <v>461</v>
      </c>
      <c r="G23" s="621">
        <v>205008</v>
      </c>
      <c r="H23" s="634">
        <f>G23+205008+205008+205008</f>
        <v>820032</v>
      </c>
      <c r="I23" s="635">
        <v>47483</v>
      </c>
      <c r="J23" s="636">
        <f>D23-H23</f>
        <v>1229968</v>
      </c>
      <c r="M23" s="352"/>
      <c r="O23" s="351"/>
      <c r="P23" s="351"/>
      <c r="Q23" s="351"/>
    </row>
    <row r="24" spans="1:17" ht="15" customHeight="1" x14ac:dyDescent="0.2">
      <c r="A24" s="671"/>
      <c r="B24" s="662"/>
      <c r="C24" s="370">
        <v>43753</v>
      </c>
      <c r="D24" s="623"/>
      <c r="E24" s="389">
        <v>17084</v>
      </c>
      <c r="F24" s="390"/>
      <c r="G24" s="621"/>
      <c r="H24" s="623"/>
      <c r="I24" s="626"/>
      <c r="J24" s="619"/>
      <c r="M24" s="352"/>
      <c r="O24" s="351"/>
      <c r="P24" s="351"/>
      <c r="Q24" s="351"/>
    </row>
    <row r="25" spans="1:17" ht="15.75" customHeight="1" x14ac:dyDescent="0.2">
      <c r="A25" s="671"/>
      <c r="B25" s="663"/>
      <c r="C25" s="373"/>
      <c r="D25" s="624"/>
      <c r="E25" s="375"/>
      <c r="F25" s="396" t="s">
        <v>456</v>
      </c>
      <c r="G25" s="621"/>
      <c r="H25" s="624"/>
      <c r="I25" s="627"/>
      <c r="J25" s="628"/>
      <c r="M25" s="352"/>
      <c r="O25" s="351"/>
      <c r="P25" s="351"/>
      <c r="Q25" s="351"/>
    </row>
    <row r="26" spans="1:17" ht="15.75" customHeight="1" x14ac:dyDescent="0.2">
      <c r="A26" s="671"/>
      <c r="B26" s="664" t="s">
        <v>204</v>
      </c>
      <c r="C26" s="386" t="s">
        <v>468</v>
      </c>
      <c r="D26" s="622">
        <v>1600000</v>
      </c>
      <c r="E26" s="377" t="s">
        <v>469</v>
      </c>
      <c r="F26" s="387" t="s">
        <v>470</v>
      </c>
      <c r="G26" s="621">
        <v>159996</v>
      </c>
      <c r="H26" s="622">
        <f>G26+159996+159996</f>
        <v>479988</v>
      </c>
      <c r="I26" s="625">
        <v>47848</v>
      </c>
      <c r="J26" s="618">
        <f>D26-H26</f>
        <v>1120012</v>
      </c>
      <c r="M26" s="352"/>
      <c r="O26" s="351"/>
      <c r="P26" s="351"/>
      <c r="Q26" s="351"/>
    </row>
    <row r="27" spans="1:17" ht="15.75" customHeight="1" x14ac:dyDescent="0.2">
      <c r="A27" s="671"/>
      <c r="B27" s="662"/>
      <c r="C27" s="370">
        <v>43980</v>
      </c>
      <c r="D27" s="623"/>
      <c r="E27" s="389">
        <v>13333</v>
      </c>
      <c r="F27" s="390"/>
      <c r="G27" s="621"/>
      <c r="H27" s="623"/>
      <c r="I27" s="626"/>
      <c r="J27" s="619"/>
      <c r="M27" s="352"/>
      <c r="O27" s="351"/>
      <c r="P27" s="351"/>
      <c r="Q27" s="351"/>
    </row>
    <row r="28" spans="1:17" ht="15.75" customHeight="1" x14ac:dyDescent="0.2">
      <c r="A28" s="671"/>
      <c r="B28" s="665"/>
      <c r="C28" s="382"/>
      <c r="D28" s="637"/>
      <c r="E28" s="384"/>
      <c r="F28" s="392" t="s">
        <v>471</v>
      </c>
      <c r="G28" s="621"/>
      <c r="H28" s="637"/>
      <c r="I28" s="629"/>
      <c r="J28" s="620"/>
      <c r="M28" s="352"/>
      <c r="O28" s="351"/>
      <c r="P28" s="351"/>
      <c r="Q28" s="351"/>
    </row>
    <row r="29" spans="1:17" ht="13.5" customHeight="1" x14ac:dyDescent="0.2">
      <c r="A29" s="671"/>
      <c r="B29" s="661" t="s">
        <v>204</v>
      </c>
      <c r="C29" s="366" t="s">
        <v>932</v>
      </c>
      <c r="D29" s="609">
        <v>2700000</v>
      </c>
      <c r="E29" s="399">
        <v>44957</v>
      </c>
      <c r="F29" s="367" t="s">
        <v>933</v>
      </c>
      <c r="G29" s="621">
        <v>270000</v>
      </c>
      <c r="H29" s="609">
        <f>G29</f>
        <v>270000</v>
      </c>
      <c r="I29" s="612">
        <v>48579</v>
      </c>
      <c r="J29" s="615">
        <f>D29-H29</f>
        <v>2430000</v>
      </c>
      <c r="M29" s="352"/>
      <c r="O29" s="351"/>
      <c r="P29" s="351"/>
      <c r="Q29" s="351"/>
    </row>
    <row r="30" spans="1:17" ht="14.25" customHeight="1" x14ac:dyDescent="0.2">
      <c r="A30" s="671"/>
      <c r="B30" s="662"/>
      <c r="C30" s="370">
        <v>44739</v>
      </c>
      <c r="D30" s="610"/>
      <c r="E30" s="389">
        <v>22500</v>
      </c>
      <c r="F30" s="390"/>
      <c r="G30" s="621"/>
      <c r="H30" s="610"/>
      <c r="I30" s="613"/>
      <c r="J30" s="616"/>
      <c r="M30" s="352"/>
      <c r="O30" s="351"/>
      <c r="P30" s="351"/>
      <c r="Q30" s="351"/>
    </row>
    <row r="31" spans="1:17" ht="14.25" customHeight="1" x14ac:dyDescent="0.2">
      <c r="A31" s="671"/>
      <c r="B31" s="663"/>
      <c r="C31" s="373"/>
      <c r="D31" s="611"/>
      <c r="E31" s="375"/>
      <c r="F31" s="396" t="s">
        <v>934</v>
      </c>
      <c r="G31" s="621"/>
      <c r="H31" s="611"/>
      <c r="I31" s="614"/>
      <c r="J31" s="617"/>
      <c r="M31" s="352"/>
      <c r="O31" s="351"/>
      <c r="P31" s="351"/>
      <c r="Q31" s="351"/>
    </row>
    <row r="32" spans="1:17" ht="13.5" customHeight="1" x14ac:dyDescent="0.2">
      <c r="A32" s="671"/>
      <c r="B32" s="664" t="s">
        <v>218</v>
      </c>
      <c r="C32" s="386" t="s">
        <v>219</v>
      </c>
      <c r="D32" s="622">
        <v>2401468.7999999998</v>
      </c>
      <c r="E32" s="386">
        <v>42394</v>
      </c>
      <c r="F32" s="387" t="s">
        <v>220</v>
      </c>
      <c r="G32" s="621">
        <v>240146.88</v>
      </c>
      <c r="H32" s="622">
        <f>720440.64+240146.88+G32+240146.88+240146.88+240146.88</f>
        <v>1921175.0399999996</v>
      </c>
      <c r="I32" s="625">
        <v>46014</v>
      </c>
      <c r="J32" s="618">
        <f>D32-H32</f>
        <v>480293.76000000024</v>
      </c>
      <c r="M32" s="352"/>
      <c r="O32" s="351"/>
      <c r="P32" s="351"/>
      <c r="Q32" s="351"/>
    </row>
    <row r="33" spans="1:17" ht="14.25" customHeight="1" x14ac:dyDescent="0.2">
      <c r="A33" s="671"/>
      <c r="B33" s="662"/>
      <c r="C33" s="370">
        <v>42142</v>
      </c>
      <c r="D33" s="623"/>
      <c r="E33" s="389">
        <v>20012.240000000002</v>
      </c>
      <c r="F33" s="390" t="s">
        <v>221</v>
      </c>
      <c r="G33" s="621"/>
      <c r="H33" s="623"/>
      <c r="I33" s="626"/>
      <c r="J33" s="619"/>
      <c r="M33" s="352"/>
      <c r="O33" s="351"/>
      <c r="P33" s="351"/>
      <c r="Q33" s="351"/>
    </row>
    <row r="34" spans="1:17" ht="14.25" customHeight="1" x14ac:dyDescent="0.2">
      <c r="A34" s="671"/>
      <c r="B34" s="663"/>
      <c r="C34" s="373"/>
      <c r="D34" s="624"/>
      <c r="E34" s="375"/>
      <c r="F34" s="396"/>
      <c r="G34" s="621"/>
      <c r="H34" s="624"/>
      <c r="I34" s="627"/>
      <c r="J34" s="628"/>
      <c r="M34" s="352"/>
      <c r="O34" s="351"/>
      <c r="P34" s="351"/>
      <c r="Q34" s="351"/>
    </row>
    <row r="35" spans="1:17" ht="14.25" customHeight="1" x14ac:dyDescent="0.2">
      <c r="A35" s="671"/>
      <c r="B35" s="654" t="s">
        <v>218</v>
      </c>
      <c r="C35" s="388" t="s">
        <v>222</v>
      </c>
      <c r="D35" s="622">
        <v>681759.94</v>
      </c>
      <c r="E35" s="388">
        <v>42034</v>
      </c>
      <c r="F35" s="387" t="s">
        <v>223</v>
      </c>
      <c r="G35" s="631">
        <v>68175.960000000006</v>
      </c>
      <c r="H35" s="622">
        <f>272703.84+68175.96+G35+68175.96+68175.96+68175.96</f>
        <v>613583.64</v>
      </c>
      <c r="I35" s="625">
        <v>45657</v>
      </c>
      <c r="J35" s="618">
        <f>D35-H35</f>
        <v>68176.29999999993</v>
      </c>
      <c r="M35" s="352"/>
      <c r="O35" s="351"/>
      <c r="P35" s="351"/>
      <c r="Q35" s="351"/>
    </row>
    <row r="36" spans="1:17" ht="14.25" customHeight="1" x14ac:dyDescent="0.2">
      <c r="A36" s="671"/>
      <c r="B36" s="655"/>
      <c r="C36" s="391"/>
      <c r="D36" s="623"/>
      <c r="E36" s="403"/>
      <c r="F36" s="390"/>
      <c r="G36" s="631"/>
      <c r="H36" s="623"/>
      <c r="I36" s="626"/>
      <c r="J36" s="619"/>
      <c r="M36" s="352"/>
      <c r="O36" s="351"/>
      <c r="P36" s="351"/>
      <c r="Q36" s="351"/>
    </row>
    <row r="37" spans="1:17" ht="14.25" customHeight="1" x14ac:dyDescent="0.2">
      <c r="A37" s="671"/>
      <c r="B37" s="656"/>
      <c r="C37" s="393">
        <v>41890</v>
      </c>
      <c r="D37" s="637"/>
      <c r="E37" s="404">
        <v>5681.33</v>
      </c>
      <c r="F37" s="392" t="s">
        <v>224</v>
      </c>
      <c r="G37" s="653"/>
      <c r="H37" s="637"/>
      <c r="I37" s="629"/>
      <c r="J37" s="620"/>
      <c r="M37" s="352"/>
      <c r="O37" s="351"/>
      <c r="P37" s="351"/>
      <c r="Q37" s="351"/>
    </row>
    <row r="38" spans="1:17" ht="14.25" customHeight="1" x14ac:dyDescent="0.2">
      <c r="A38" s="671"/>
      <c r="B38" s="654" t="s">
        <v>218</v>
      </c>
      <c r="C38" s="400" t="s">
        <v>935</v>
      </c>
      <c r="D38" s="398">
        <v>9000000</v>
      </c>
      <c r="E38" s="395">
        <v>45681</v>
      </c>
      <c r="F38" s="405" t="s">
        <v>936</v>
      </c>
      <c r="G38" s="653">
        <v>0</v>
      </c>
      <c r="H38" s="609">
        <v>0</v>
      </c>
      <c r="I38" s="612">
        <v>48936</v>
      </c>
      <c r="J38" s="615">
        <f>D40</f>
        <v>2353831</v>
      </c>
      <c r="M38" s="352"/>
      <c r="O38" s="351"/>
      <c r="P38" s="351"/>
      <c r="Q38" s="351"/>
    </row>
    <row r="39" spans="1:17" ht="15" customHeight="1" x14ac:dyDescent="0.2">
      <c r="A39" s="671"/>
      <c r="B39" s="655"/>
      <c r="C39" s="391" t="s">
        <v>937</v>
      </c>
      <c r="D39" s="371" t="s">
        <v>938</v>
      </c>
      <c r="E39" s="403"/>
      <c r="F39" s="390"/>
      <c r="G39" s="657"/>
      <c r="H39" s="610"/>
      <c r="I39" s="613"/>
      <c r="J39" s="616"/>
      <c r="M39" s="352"/>
      <c r="O39" s="351"/>
      <c r="P39" s="351"/>
      <c r="Q39" s="351"/>
    </row>
    <row r="40" spans="1:17" ht="10.5" customHeight="1" x14ac:dyDescent="0.2">
      <c r="A40" s="671"/>
      <c r="B40" s="656"/>
      <c r="C40" s="402">
        <v>45055</v>
      </c>
      <c r="D40" s="401">
        <v>2353831</v>
      </c>
      <c r="E40" s="406">
        <v>83333</v>
      </c>
      <c r="F40" s="407" t="s">
        <v>939</v>
      </c>
      <c r="G40" s="658"/>
      <c r="H40" s="611"/>
      <c r="I40" s="614"/>
      <c r="J40" s="617"/>
      <c r="M40" s="352"/>
      <c r="O40" s="351"/>
      <c r="P40" s="351"/>
      <c r="Q40" s="351"/>
    </row>
    <row r="41" spans="1:17" ht="13.5" customHeight="1" x14ac:dyDescent="0.2">
      <c r="A41" s="671"/>
      <c r="B41" s="638" t="s">
        <v>225</v>
      </c>
      <c r="C41" s="395" t="s">
        <v>226</v>
      </c>
      <c r="D41" s="634">
        <v>1500000</v>
      </c>
      <c r="E41" s="368" t="s">
        <v>206</v>
      </c>
      <c r="F41" s="369" t="s">
        <v>227</v>
      </c>
      <c r="G41" s="631">
        <v>150000</v>
      </c>
      <c r="H41" s="634">
        <f>750000+150000+G41+150000+150000+150000</f>
        <v>1500000</v>
      </c>
      <c r="I41" s="635">
        <v>45291</v>
      </c>
      <c r="J41" s="636">
        <f>D41-H41</f>
        <v>0</v>
      </c>
      <c r="M41" s="352"/>
      <c r="O41" s="351"/>
      <c r="P41" s="351"/>
      <c r="Q41" s="351"/>
    </row>
    <row r="42" spans="1:17" ht="18.75" customHeight="1" x14ac:dyDescent="0.2">
      <c r="A42" s="671"/>
      <c r="B42" s="672"/>
      <c r="C42" s="397">
        <v>41548</v>
      </c>
      <c r="D42" s="624"/>
      <c r="E42" s="408">
        <v>12500</v>
      </c>
      <c r="F42" s="409" t="s">
        <v>228</v>
      </c>
      <c r="G42" s="631"/>
      <c r="H42" s="624"/>
      <c r="I42" s="627"/>
      <c r="J42" s="628"/>
      <c r="M42" s="352"/>
      <c r="O42" s="351"/>
      <c r="P42" s="351"/>
      <c r="Q42" s="351"/>
    </row>
    <row r="43" spans="1:17" ht="15" customHeight="1" x14ac:dyDescent="0.2">
      <c r="A43" s="671"/>
      <c r="B43" s="652" t="s">
        <v>225</v>
      </c>
      <c r="C43" s="388" t="s">
        <v>229</v>
      </c>
      <c r="D43" s="622">
        <v>1300000</v>
      </c>
      <c r="E43" s="379" t="s">
        <v>230</v>
      </c>
      <c r="F43" s="380" t="s">
        <v>231</v>
      </c>
      <c r="G43" s="631">
        <v>130008</v>
      </c>
      <c r="H43" s="622">
        <f>520032+130008+G43+130008+130008+130008</f>
        <v>1170072</v>
      </c>
      <c r="I43" s="625">
        <v>45657</v>
      </c>
      <c r="J43" s="618">
        <f>D43-H43</f>
        <v>129928</v>
      </c>
      <c r="M43" s="352"/>
      <c r="O43" s="351"/>
      <c r="P43" s="351"/>
      <c r="Q43" s="351"/>
    </row>
    <row r="44" spans="1:17" ht="13.5" customHeight="1" x14ac:dyDescent="0.2">
      <c r="A44" s="671"/>
      <c r="B44" s="639"/>
      <c r="C44" s="393">
        <v>41815</v>
      </c>
      <c r="D44" s="637"/>
      <c r="E44" s="404">
        <v>10834</v>
      </c>
      <c r="F44" s="410" t="s">
        <v>232</v>
      </c>
      <c r="G44" s="631"/>
      <c r="H44" s="637"/>
      <c r="I44" s="629"/>
      <c r="J44" s="620"/>
      <c r="M44" s="352"/>
      <c r="O44" s="351"/>
      <c r="P44" s="351"/>
      <c r="Q44" s="351"/>
    </row>
    <row r="45" spans="1:17" ht="13.5" customHeight="1" x14ac:dyDescent="0.2">
      <c r="A45" s="671"/>
      <c r="B45" s="638" t="s">
        <v>225</v>
      </c>
      <c r="C45" s="395" t="s">
        <v>233</v>
      </c>
      <c r="D45" s="640">
        <v>1800000</v>
      </c>
      <c r="E45" s="368" t="s">
        <v>234</v>
      </c>
      <c r="F45" s="369" t="s">
        <v>235</v>
      </c>
      <c r="G45" s="642">
        <v>180000</v>
      </c>
      <c r="H45" s="634">
        <f>540000+180000+G45+180000+180000+180000</f>
        <v>1440000</v>
      </c>
      <c r="I45" s="635">
        <v>46022</v>
      </c>
      <c r="J45" s="636">
        <f>D45-H45</f>
        <v>360000</v>
      </c>
      <c r="M45" s="352"/>
      <c r="O45" s="351"/>
      <c r="P45" s="351"/>
      <c r="Q45" s="351"/>
    </row>
    <row r="46" spans="1:17" ht="13.5" customHeight="1" x14ac:dyDescent="0.2">
      <c r="A46" s="671"/>
      <c r="B46" s="639"/>
      <c r="C46" s="393">
        <v>42304</v>
      </c>
      <c r="D46" s="641"/>
      <c r="E46" s="404">
        <v>15000</v>
      </c>
      <c r="F46" s="410" t="s">
        <v>236</v>
      </c>
      <c r="G46" s="643"/>
      <c r="H46" s="637"/>
      <c r="I46" s="629"/>
      <c r="J46" s="620"/>
      <c r="M46" s="352"/>
      <c r="O46" s="351"/>
      <c r="P46" s="351"/>
      <c r="Q46" s="351"/>
    </row>
    <row r="47" spans="1:17" ht="13.5" customHeight="1" x14ac:dyDescent="0.2">
      <c r="B47" s="630" t="s">
        <v>237</v>
      </c>
      <c r="C47" s="411" t="s">
        <v>238</v>
      </c>
      <c r="D47" s="621">
        <v>3120000</v>
      </c>
      <c r="E47" s="412" t="s">
        <v>239</v>
      </c>
      <c r="F47" s="413" t="s">
        <v>240</v>
      </c>
      <c r="G47" s="631">
        <v>325560</v>
      </c>
      <c r="H47" s="621">
        <f>325560+325560+G47+325560+325560+325560</f>
        <v>1953360</v>
      </c>
      <c r="I47" s="632">
        <v>46589</v>
      </c>
      <c r="J47" s="633">
        <f>D47-H47</f>
        <v>1166640</v>
      </c>
      <c r="L47" s="351"/>
      <c r="N47" s="351"/>
      <c r="O47" s="351"/>
      <c r="P47" s="351"/>
      <c r="Q47" s="351"/>
    </row>
    <row r="48" spans="1:17" ht="33.75" customHeight="1" x14ac:dyDescent="0.2">
      <c r="B48" s="630"/>
      <c r="C48" s="411">
        <v>42929</v>
      </c>
      <c r="D48" s="621"/>
      <c r="E48" s="414">
        <v>27130</v>
      </c>
      <c r="F48" s="415" t="s">
        <v>241</v>
      </c>
      <c r="G48" s="631"/>
      <c r="H48" s="621"/>
      <c r="I48" s="632"/>
      <c r="J48" s="633"/>
      <c r="L48" s="351"/>
      <c r="N48" s="351"/>
      <c r="O48" s="351"/>
      <c r="P48" s="351"/>
      <c r="Q48" s="351"/>
    </row>
  </sheetData>
  <mergeCells count="115">
    <mergeCell ref="A14:A16"/>
    <mergeCell ref="A29:A31"/>
    <mergeCell ref="A20:A22"/>
    <mergeCell ref="A23:A25"/>
    <mergeCell ref="B20:B22"/>
    <mergeCell ref="B8:B10"/>
    <mergeCell ref="D8:D10"/>
    <mergeCell ref="B11:B13"/>
    <mergeCell ref="D11:D13"/>
    <mergeCell ref="A17:A19"/>
    <mergeCell ref="A8:A10"/>
    <mergeCell ref="F3:F4"/>
    <mergeCell ref="B2:J2"/>
    <mergeCell ref="A43:A46"/>
    <mergeCell ref="B41:B42"/>
    <mergeCell ref="E3:E4"/>
    <mergeCell ref="B5:B7"/>
    <mergeCell ref="D5:D7"/>
    <mergeCell ref="D14:D16"/>
    <mergeCell ref="B23:B25"/>
    <mergeCell ref="D23:D25"/>
    <mergeCell ref="D32:D34"/>
    <mergeCell ref="A39:A40"/>
    <mergeCell ref="A32:A34"/>
    <mergeCell ref="A35:A36"/>
    <mergeCell ref="B32:B34"/>
    <mergeCell ref="A41:A42"/>
    <mergeCell ref="A11:A13"/>
    <mergeCell ref="B14:B16"/>
    <mergeCell ref="A26:A28"/>
    <mergeCell ref="A37:A38"/>
    <mergeCell ref="B3:B4"/>
    <mergeCell ref="B35:B37"/>
    <mergeCell ref="D35:D37"/>
    <mergeCell ref="A5:A7"/>
    <mergeCell ref="I3:I4"/>
    <mergeCell ref="G5:G7"/>
    <mergeCell ref="H5:H7"/>
    <mergeCell ref="I5:I7"/>
    <mergeCell ref="J5:J7"/>
    <mergeCell ref="D41:D42"/>
    <mergeCell ref="D26:D28"/>
    <mergeCell ref="B29:B31"/>
    <mergeCell ref="D29:D31"/>
    <mergeCell ref="B26:B28"/>
    <mergeCell ref="B17:B19"/>
    <mergeCell ref="D17:D19"/>
    <mergeCell ref="D20:D22"/>
    <mergeCell ref="G23:G25"/>
    <mergeCell ref="H23:H25"/>
    <mergeCell ref="I23:I25"/>
    <mergeCell ref="J23:J25"/>
    <mergeCell ref="G14:G16"/>
    <mergeCell ref="H14:H16"/>
    <mergeCell ref="I14:I16"/>
    <mergeCell ref="J14:J16"/>
    <mergeCell ref="G8:G10"/>
    <mergeCell ref="H8:H10"/>
    <mergeCell ref="I8:I10"/>
    <mergeCell ref="J8:J10"/>
    <mergeCell ref="G11:G13"/>
    <mergeCell ref="H11:H13"/>
    <mergeCell ref="I11:I13"/>
    <mergeCell ref="J11:J13"/>
    <mergeCell ref="B43:B44"/>
    <mergeCell ref="D43:D44"/>
    <mergeCell ref="G43:G44"/>
    <mergeCell ref="G17:G19"/>
    <mergeCell ref="H17:H19"/>
    <mergeCell ref="I17:I19"/>
    <mergeCell ref="J17:J19"/>
    <mergeCell ref="G20:G22"/>
    <mergeCell ref="H20:H22"/>
    <mergeCell ref="I20:I22"/>
    <mergeCell ref="J20:J22"/>
    <mergeCell ref="G35:G37"/>
    <mergeCell ref="G26:G28"/>
    <mergeCell ref="H26:H28"/>
    <mergeCell ref="H35:H37"/>
    <mergeCell ref="I35:I37"/>
    <mergeCell ref="J35:J37"/>
    <mergeCell ref="B38:B40"/>
    <mergeCell ref="G38:G40"/>
    <mergeCell ref="B47:B48"/>
    <mergeCell ref="D47:D48"/>
    <mergeCell ref="G47:G48"/>
    <mergeCell ref="H47:H48"/>
    <mergeCell ref="I47:I48"/>
    <mergeCell ref="J47:J48"/>
    <mergeCell ref="G41:G42"/>
    <mergeCell ref="H41:H42"/>
    <mergeCell ref="I41:I42"/>
    <mergeCell ref="J41:J42"/>
    <mergeCell ref="H43:H44"/>
    <mergeCell ref="I43:I44"/>
    <mergeCell ref="J43:J44"/>
    <mergeCell ref="B45:B46"/>
    <mergeCell ref="D45:D46"/>
    <mergeCell ref="G45:G46"/>
    <mergeCell ref="H45:H46"/>
    <mergeCell ref="I45:I46"/>
    <mergeCell ref="J45:J46"/>
    <mergeCell ref="H38:H40"/>
    <mergeCell ref="I38:I40"/>
    <mergeCell ref="J38:J40"/>
    <mergeCell ref="J26:J28"/>
    <mergeCell ref="G29:G31"/>
    <mergeCell ref="H29:H31"/>
    <mergeCell ref="I29:I31"/>
    <mergeCell ref="J29:J31"/>
    <mergeCell ref="G32:G34"/>
    <mergeCell ref="H32:H34"/>
    <mergeCell ref="I32:I34"/>
    <mergeCell ref="J32:J34"/>
    <mergeCell ref="I26:I28"/>
  </mergeCells>
  <pageMargins left="3.937007874015748E-2" right="0.23622047244094491" top="0.11811023622047245" bottom="0.19685039370078741" header="0.11811023622047245" footer="0.19685039370078741"/>
  <pageSetup paperSize="9" scale="78"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P45"/>
  <sheetViews>
    <sheetView workbookViewId="0"/>
  </sheetViews>
  <sheetFormatPr defaultColWidth="9.7109375" defaultRowHeight="12.75" x14ac:dyDescent="0.2"/>
  <cols>
    <col min="1" max="1" width="10.7109375" style="35" customWidth="1"/>
    <col min="2" max="2" width="33.5703125" style="35" customWidth="1"/>
    <col min="3" max="3" width="9.7109375" style="35" customWidth="1"/>
    <col min="4" max="4" width="9" style="35" customWidth="1"/>
    <col min="5" max="5" width="8.28515625" style="35" customWidth="1"/>
    <col min="6" max="6" width="8.85546875" style="35" customWidth="1"/>
    <col min="7" max="7" width="9.42578125" style="35" customWidth="1"/>
    <col min="8" max="9" width="8.5703125" style="35" customWidth="1"/>
    <col min="10" max="10" width="10.5703125" style="35" customWidth="1"/>
    <col min="11" max="15" width="9.140625" style="35" customWidth="1"/>
    <col min="16" max="16" width="19.42578125" style="35" customWidth="1"/>
    <col min="17" max="246" width="9.140625" style="35" customWidth="1"/>
    <col min="247" max="247" width="1.85546875" style="35" customWidth="1"/>
    <col min="248" max="248" width="42" style="35" customWidth="1"/>
    <col min="249" max="249" width="11.7109375" style="35" customWidth="1"/>
    <col min="250" max="250" width="10.140625" style="35" customWidth="1"/>
    <col min="251" max="251" width="10.28515625" style="35" customWidth="1"/>
    <col min="252" max="252" width="10.140625" style="35" customWidth="1"/>
    <col min="253" max="253" width="11.5703125" style="35" customWidth="1"/>
    <col min="254" max="254" width="10.28515625" style="35" customWidth="1"/>
    <col min="255" max="255" width="1.7109375" style="35" customWidth="1"/>
    <col min="256" max="256" width="16.7109375" style="35" customWidth="1"/>
    <col min="257" max="257" width="9.7109375" style="35" customWidth="1"/>
    <col min="258" max="16384" width="9.7109375" style="35"/>
  </cols>
  <sheetData>
    <row r="2" spans="2:12" ht="15" customHeight="1" x14ac:dyDescent="0.2">
      <c r="G2" s="457"/>
      <c r="H2" s="458" t="s">
        <v>242</v>
      </c>
      <c r="K2" s="459"/>
    </row>
    <row r="3" spans="2:12" ht="10.5" customHeight="1" x14ac:dyDescent="0.2">
      <c r="E3" s="457"/>
    </row>
    <row r="4" spans="2:12" ht="72.75" customHeight="1" x14ac:dyDescent="0.2">
      <c r="B4" s="682" t="s">
        <v>971</v>
      </c>
      <c r="C4" s="682"/>
      <c r="D4" s="682"/>
      <c r="E4" s="682"/>
      <c r="F4" s="682"/>
      <c r="G4" s="682"/>
      <c r="H4" s="682"/>
      <c r="I4" s="460"/>
      <c r="J4" s="460"/>
      <c r="K4" s="461"/>
    </row>
    <row r="5" spans="2:12" ht="18" x14ac:dyDescent="0.2">
      <c r="B5" s="461"/>
      <c r="C5" s="461"/>
      <c r="D5" s="461"/>
      <c r="E5" s="461"/>
      <c r="F5" s="461"/>
      <c r="G5" s="461"/>
      <c r="H5" s="461"/>
      <c r="I5" s="461"/>
      <c r="J5" s="461"/>
    </row>
    <row r="7" spans="2:12" x14ac:dyDescent="0.2">
      <c r="B7" s="462"/>
      <c r="C7" s="463">
        <v>2018</v>
      </c>
      <c r="D7" s="463">
        <v>2019</v>
      </c>
      <c r="E7" s="463">
        <v>2020</v>
      </c>
      <c r="F7" s="463">
        <v>2021</v>
      </c>
      <c r="G7" s="463">
        <v>2022</v>
      </c>
      <c r="H7" s="463">
        <v>2023</v>
      </c>
    </row>
    <row r="8" spans="2:12" x14ac:dyDescent="0.2">
      <c r="B8" s="464" t="s">
        <v>243</v>
      </c>
      <c r="C8" s="465">
        <v>54705</v>
      </c>
      <c r="D8" s="48">
        <v>54696</v>
      </c>
      <c r="E8" s="48">
        <v>54705</v>
      </c>
      <c r="F8" s="48">
        <v>54679</v>
      </c>
      <c r="G8" s="465">
        <v>54368</v>
      </c>
      <c r="H8" s="466">
        <v>54012</v>
      </c>
    </row>
    <row r="9" spans="2:12" ht="1.5" customHeight="1" x14ac:dyDescent="0.2">
      <c r="B9" s="464"/>
      <c r="C9" s="465"/>
      <c r="D9" s="48"/>
      <c r="E9" s="48"/>
      <c r="F9" s="48"/>
      <c r="G9" s="465"/>
      <c r="H9" s="466"/>
    </row>
    <row r="10" spans="2:12" x14ac:dyDescent="0.2">
      <c r="B10" s="464" t="s">
        <v>244</v>
      </c>
      <c r="C10" s="467">
        <v>13381</v>
      </c>
      <c r="D10" s="468">
        <v>12837</v>
      </c>
      <c r="E10" s="468">
        <v>13686</v>
      </c>
      <c r="F10" s="468">
        <v>11680</v>
      </c>
      <c r="G10" s="467">
        <v>12374</v>
      </c>
      <c r="H10" s="469">
        <v>11244</v>
      </c>
    </row>
    <row r="11" spans="2:12" s="1" customFormat="1" ht="15" customHeight="1" x14ac:dyDescent="0.2">
      <c r="B11" s="470" t="s">
        <v>245</v>
      </c>
      <c r="C11" s="465">
        <f t="shared" ref="C11:E11" si="0">C10/C8*1000</f>
        <v>244.60286993876247</v>
      </c>
      <c r="D11" s="48">
        <f t="shared" si="0"/>
        <v>234.69723562966215</v>
      </c>
      <c r="E11" s="48">
        <f t="shared" si="0"/>
        <v>250.17822868110778</v>
      </c>
      <c r="F11" s="48">
        <f>F10/F8*1000</f>
        <v>213.61034400775435</v>
      </c>
      <c r="G11" s="465">
        <f>G10/G8*1000</f>
        <v>227.59711595055916</v>
      </c>
      <c r="H11" s="466">
        <f>H10/H8*1000</f>
        <v>208.17596089757831</v>
      </c>
      <c r="I11" s="35"/>
      <c r="J11" s="35"/>
      <c r="K11" s="35"/>
      <c r="L11" s="36"/>
    </row>
    <row r="12" spans="2:12" s="1" customFormat="1" ht="14.25" x14ac:dyDescent="0.2">
      <c r="B12" s="470" t="s">
        <v>246</v>
      </c>
      <c r="C12" s="465">
        <v>43691</v>
      </c>
      <c r="D12" s="48">
        <v>48206</v>
      </c>
      <c r="E12" s="48">
        <v>52606</v>
      </c>
      <c r="F12" s="48">
        <v>54373</v>
      </c>
      <c r="G12" s="465">
        <v>59977</v>
      </c>
      <c r="H12" s="466">
        <v>70731</v>
      </c>
      <c r="I12" s="35"/>
      <c r="J12" s="35"/>
      <c r="K12" s="35"/>
      <c r="L12" s="36"/>
    </row>
    <row r="13" spans="2:12" s="1" customFormat="1" ht="30" customHeight="1" x14ac:dyDescent="0.2">
      <c r="B13" s="470" t="s">
        <v>247</v>
      </c>
      <c r="C13" s="471">
        <v>0.33650000000000002</v>
      </c>
      <c r="D13" s="472">
        <f t="shared" ref="D13" si="1">D10/C12</f>
        <v>0.29381337117484152</v>
      </c>
      <c r="E13" s="472">
        <f>E10/D12</f>
        <v>0.28390656764718086</v>
      </c>
      <c r="F13" s="472">
        <f>F10/E12</f>
        <v>0.22202790556210319</v>
      </c>
      <c r="G13" s="471">
        <f>G10/F12</f>
        <v>0.22757618671031579</v>
      </c>
      <c r="H13" s="473">
        <f>H10/G12</f>
        <v>0.18747186421461559</v>
      </c>
      <c r="I13" s="35"/>
      <c r="J13" s="35"/>
      <c r="K13" s="35"/>
      <c r="L13" s="35"/>
    </row>
    <row r="14" spans="2:12" s="1" customFormat="1" ht="7.5" customHeight="1" x14ac:dyDescent="0.2">
      <c r="B14" s="470"/>
      <c r="C14" s="471"/>
      <c r="D14" s="472"/>
      <c r="E14" s="472"/>
      <c r="F14" s="472"/>
      <c r="G14" s="471"/>
      <c r="H14" s="473"/>
      <c r="I14" s="35"/>
      <c r="J14" s="35"/>
      <c r="K14" s="35"/>
      <c r="L14" s="35"/>
    </row>
    <row r="15" spans="2:12" s="1" customFormat="1" ht="14.25" x14ac:dyDescent="0.2">
      <c r="B15" s="470" t="s">
        <v>248</v>
      </c>
      <c r="C15" s="467">
        <v>3168</v>
      </c>
      <c r="D15" s="468">
        <v>2038</v>
      </c>
      <c r="E15" s="468">
        <v>2231</v>
      </c>
      <c r="F15" s="468">
        <v>2039</v>
      </c>
      <c r="G15" s="467">
        <v>2207</v>
      </c>
      <c r="H15" s="469">
        <v>2673</v>
      </c>
      <c r="I15" s="35"/>
      <c r="J15" s="35"/>
      <c r="K15" s="35"/>
      <c r="L15" s="35"/>
    </row>
    <row r="16" spans="2:12" s="1" customFormat="1" ht="38.25" x14ac:dyDescent="0.2">
      <c r="B16" s="470" t="s">
        <v>249</v>
      </c>
      <c r="C16" s="474">
        <v>34803</v>
      </c>
      <c r="D16" s="475">
        <v>37690</v>
      </c>
      <c r="E16" s="475">
        <v>39005</v>
      </c>
      <c r="F16" s="475">
        <v>40697</v>
      </c>
      <c r="G16" s="474">
        <f>G12-15555</f>
        <v>44422</v>
      </c>
      <c r="H16" s="476">
        <f>H12-21999</f>
        <v>48732</v>
      </c>
      <c r="I16" s="35"/>
      <c r="J16" s="35"/>
      <c r="K16" s="35"/>
      <c r="L16" s="35"/>
    </row>
    <row r="17" spans="2:16" s="76" customFormat="1" ht="39.75" customHeight="1" x14ac:dyDescent="0.25">
      <c r="B17" s="477" t="s">
        <v>250</v>
      </c>
      <c r="C17" s="478">
        <v>0.1008</v>
      </c>
      <c r="D17" s="479">
        <f>D15/C16</f>
        <v>5.8558170272677644E-2</v>
      </c>
      <c r="E17" s="479">
        <f>E15/D16</f>
        <v>5.9193420005306446E-2</v>
      </c>
      <c r="F17" s="479">
        <f>F15/E16</f>
        <v>5.2275349314190492E-2</v>
      </c>
      <c r="G17" s="478">
        <f>G15/F16</f>
        <v>5.4230041526402435E-2</v>
      </c>
      <c r="H17" s="480">
        <f>H15/G16</f>
        <v>6.0172887308090589E-2</v>
      </c>
    </row>
    <row r="18" spans="2:16" s="1" customFormat="1" ht="15" x14ac:dyDescent="0.25">
      <c r="B18" s="481"/>
      <c r="C18" s="482"/>
      <c r="D18" s="482"/>
      <c r="E18" s="482"/>
      <c r="F18" s="35"/>
      <c r="G18" s="35"/>
      <c r="H18" s="74"/>
      <c r="I18" s="74"/>
      <c r="J18" s="35"/>
      <c r="K18" s="35"/>
      <c r="L18" s="35"/>
      <c r="M18" s="35"/>
      <c r="N18" s="35"/>
      <c r="O18" s="35"/>
      <c r="P18" s="35"/>
    </row>
    <row r="19" spans="2:16" s="1" customFormat="1" ht="44.25" customHeight="1" x14ac:dyDescent="0.2">
      <c r="B19" s="683" t="s">
        <v>458</v>
      </c>
      <c r="C19" s="683"/>
      <c r="D19" s="683"/>
      <c r="E19" s="683"/>
      <c r="F19" s="683"/>
      <c r="G19" s="683"/>
      <c r="H19" s="683"/>
      <c r="I19" s="483"/>
      <c r="J19" s="483"/>
      <c r="K19" s="35"/>
      <c r="L19" s="35"/>
      <c r="M19" s="35"/>
      <c r="N19" s="35"/>
      <c r="O19" s="35"/>
      <c r="P19" s="35"/>
    </row>
    <row r="20" spans="2:16" s="1" customFormat="1" ht="14.25" x14ac:dyDescent="0.2">
      <c r="B20" s="484"/>
      <c r="C20" s="484"/>
      <c r="D20" s="484"/>
      <c r="E20" s="484"/>
      <c r="F20" s="484"/>
      <c r="G20" s="484"/>
      <c r="H20" s="484"/>
      <c r="I20" s="484"/>
      <c r="J20" s="484"/>
      <c r="K20" s="35"/>
      <c r="L20" s="35"/>
      <c r="M20" s="35"/>
      <c r="N20" s="35"/>
      <c r="O20" s="35"/>
      <c r="P20" s="35"/>
    </row>
    <row r="21" spans="2:16" s="1" customFormat="1" ht="29.25" customHeight="1" x14ac:dyDescent="0.2">
      <c r="B21" s="683" t="s">
        <v>251</v>
      </c>
      <c r="C21" s="683"/>
      <c r="D21" s="683"/>
      <c r="E21" s="683"/>
      <c r="F21" s="683"/>
      <c r="G21" s="683"/>
      <c r="H21" s="683"/>
      <c r="I21" s="483"/>
      <c r="J21" s="483"/>
      <c r="K21" s="35"/>
      <c r="L21" s="35"/>
      <c r="M21" s="35"/>
      <c r="N21" s="35"/>
      <c r="O21" s="35"/>
      <c r="P21" s="35"/>
    </row>
    <row r="22" spans="2:16" s="1" customFormat="1" ht="78.75" customHeight="1" x14ac:dyDescent="0.2">
      <c r="B22" s="684" t="s">
        <v>972</v>
      </c>
      <c r="C22" s="684"/>
      <c r="D22" s="684"/>
      <c r="E22" s="684"/>
      <c r="F22" s="684"/>
      <c r="G22" s="684"/>
      <c r="H22" s="684"/>
      <c r="I22" s="485"/>
      <c r="J22" s="485"/>
      <c r="K22" s="35"/>
      <c r="L22" s="35"/>
      <c r="M22" s="35"/>
      <c r="N22" s="35"/>
      <c r="O22" s="35"/>
      <c r="P22" s="35"/>
    </row>
    <row r="23" spans="2:16" s="1" customFormat="1" ht="14.25" x14ac:dyDescent="0.2">
      <c r="B23" s="35"/>
      <c r="C23" s="482"/>
      <c r="D23" s="482"/>
      <c r="E23" s="482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2:16" s="1" customFormat="1" ht="15" x14ac:dyDescent="0.25">
      <c r="B24" s="481"/>
      <c r="C24" s="482"/>
      <c r="D24" s="482"/>
      <c r="E24" s="48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2:16" s="1" customFormat="1" ht="15" x14ac:dyDescent="0.25">
      <c r="B25" s="481"/>
      <c r="C25" s="482"/>
      <c r="D25" s="482"/>
      <c r="E25" s="482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2:16" s="1" customFormat="1" ht="15" x14ac:dyDescent="0.25">
      <c r="B26" s="481"/>
      <c r="C26" s="482"/>
      <c r="D26" s="482"/>
      <c r="E26" s="482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2:16" s="1" customFormat="1" ht="15" x14ac:dyDescent="0.25">
      <c r="B27" s="481"/>
      <c r="C27" s="482"/>
      <c r="D27" s="482"/>
      <c r="E27" s="482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2:16" s="1" customFormat="1" ht="15" x14ac:dyDescent="0.25">
      <c r="B28" s="481"/>
      <c r="C28" s="482"/>
      <c r="D28" s="482"/>
      <c r="E28" s="482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16" s="1" customFormat="1" ht="15" x14ac:dyDescent="0.25">
      <c r="B29" s="481"/>
      <c r="C29" s="482"/>
      <c r="D29" s="482"/>
      <c r="E29" s="482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16" s="1" customFormat="1" ht="15" x14ac:dyDescent="0.25">
      <c r="B30" s="481"/>
      <c r="C30" s="482"/>
      <c r="D30" s="482"/>
      <c r="E30" s="482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2:16" s="1" customFormat="1" ht="15" x14ac:dyDescent="0.25">
      <c r="B31" s="481"/>
      <c r="C31" s="482"/>
      <c r="D31" s="482"/>
      <c r="E31" s="482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s="1" customFormat="1" ht="15" x14ac:dyDescent="0.25">
      <c r="B32" s="481"/>
      <c r="C32" s="482"/>
      <c r="D32" s="482"/>
      <c r="E32" s="482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s="1" customFormat="1" ht="15" x14ac:dyDescent="0.25">
      <c r="B33" s="481"/>
      <c r="C33" s="482"/>
      <c r="D33" s="482"/>
      <c r="E33" s="482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5" x14ac:dyDescent="0.25">
      <c r="B34" s="481"/>
      <c r="C34" s="482"/>
      <c r="D34" s="482"/>
      <c r="E34" s="482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5" x14ac:dyDescent="0.25">
      <c r="B35" s="481"/>
      <c r="C35" s="482"/>
      <c r="D35" s="482"/>
      <c r="E35" s="482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5" x14ac:dyDescent="0.25">
      <c r="B36" s="481"/>
      <c r="C36" s="482"/>
      <c r="D36" s="482"/>
      <c r="E36" s="482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5" x14ac:dyDescent="0.25">
      <c r="B37" s="481"/>
      <c r="C37" s="482"/>
      <c r="D37" s="482"/>
      <c r="E37" s="482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5" x14ac:dyDescent="0.25">
      <c r="B38" s="481"/>
      <c r="C38" s="482"/>
      <c r="D38" s="482"/>
      <c r="E38" s="482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5" x14ac:dyDescent="0.25">
      <c r="B39" s="481"/>
      <c r="C39" s="482"/>
      <c r="D39" s="482"/>
      <c r="E39" s="482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5" x14ac:dyDescent="0.25">
      <c r="B40" s="481"/>
      <c r="C40" s="482"/>
      <c r="D40" s="482"/>
      <c r="E40" s="482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1" customFormat="1" ht="15" x14ac:dyDescent="0.25">
      <c r="B41" s="486"/>
      <c r="C41" s="482"/>
      <c r="D41" s="482"/>
      <c r="E41" s="482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5" x14ac:dyDescent="0.25">
      <c r="B42" s="481"/>
      <c r="C42" s="482"/>
      <c r="D42" s="482"/>
      <c r="E42" s="482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5" x14ac:dyDescent="0.25">
      <c r="B43" s="481"/>
      <c r="C43" s="482"/>
      <c r="D43" s="482"/>
      <c r="E43" s="482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s="1" customFormat="1" ht="15" x14ac:dyDescent="0.25">
      <c r="B44" s="481"/>
      <c r="C44" s="482"/>
      <c r="D44" s="482"/>
      <c r="E44" s="482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2:16" s="1" customFormat="1" ht="15" x14ac:dyDescent="0.25">
      <c r="B45" s="481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</sheetData>
  <mergeCells count="4">
    <mergeCell ref="B4:H4"/>
    <mergeCell ref="B19:H19"/>
    <mergeCell ref="B21:H21"/>
    <mergeCell ref="B22:H22"/>
  </mergeCells>
  <pageMargins left="0.74803149606299213" right="0.35433070866141736" top="0.35433070866141736" bottom="0.55118110236220474" header="0.31496062992125984" footer="0.31496062992125984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M64"/>
  <sheetViews>
    <sheetView workbookViewId="0"/>
  </sheetViews>
  <sheetFormatPr defaultRowHeight="12.75" x14ac:dyDescent="0.2"/>
  <cols>
    <col min="1" max="1" width="11.7109375" style="35" customWidth="1"/>
    <col min="2" max="2" width="4.85546875" style="35" customWidth="1"/>
    <col min="3" max="3" width="9.28515625" style="98" customWidth="1"/>
    <col min="4" max="4" width="32.42578125" style="35" customWidth="1"/>
    <col min="5" max="5" width="16.42578125" style="35" customWidth="1"/>
    <col min="6" max="6" width="15.85546875" style="35" customWidth="1"/>
    <col min="7" max="7" width="13.140625" style="35" customWidth="1"/>
    <col min="8" max="8" width="5.140625" style="35" customWidth="1"/>
    <col min="9" max="16384" width="9.140625" style="35"/>
  </cols>
  <sheetData>
    <row r="1" spans="2:13" s="76" customFormat="1" x14ac:dyDescent="0.25">
      <c r="C1" s="79"/>
    </row>
    <row r="2" spans="2:13" s="76" customFormat="1" x14ac:dyDescent="0.25">
      <c r="C2" s="79"/>
      <c r="E2" s="80"/>
      <c r="G2" s="81" t="s">
        <v>252</v>
      </c>
    </row>
    <row r="3" spans="2:13" s="76" customFormat="1" ht="15.75" customHeight="1" x14ac:dyDescent="0.25">
      <c r="B3" s="568" t="s">
        <v>627</v>
      </c>
      <c r="C3" s="568"/>
      <c r="D3" s="568"/>
      <c r="E3" s="568"/>
      <c r="F3" s="568"/>
      <c r="G3" s="568"/>
    </row>
    <row r="4" spans="2:13" s="76" customFormat="1" ht="10.5" customHeight="1" x14ac:dyDescent="0.25">
      <c r="C4" s="79"/>
    </row>
    <row r="5" spans="2:13" s="76" customFormat="1" ht="30" customHeight="1" x14ac:dyDescent="0.25">
      <c r="B5" s="686" t="s">
        <v>0</v>
      </c>
      <c r="C5" s="686"/>
      <c r="D5" s="686"/>
      <c r="E5" s="82" t="s">
        <v>253</v>
      </c>
      <c r="F5" s="82" t="s">
        <v>254</v>
      </c>
      <c r="G5" s="82" t="s">
        <v>255</v>
      </c>
    </row>
    <row r="6" spans="2:13" s="8" customFormat="1" ht="24" customHeight="1" x14ac:dyDescent="0.25">
      <c r="B6" s="687" t="s">
        <v>256</v>
      </c>
      <c r="C6" s="687"/>
      <c r="D6" s="687"/>
      <c r="E6" s="83">
        <f>E7+E13+E15+E18+E23+E26+E33+E38+E48+E31</f>
        <v>65205983</v>
      </c>
      <c r="F6" s="83">
        <f t="shared" ref="F6:G6" si="0">F7+F13+F15+F18+F23+F26+F33+F38+F48+F31</f>
        <v>69559488</v>
      </c>
      <c r="G6" s="83">
        <f t="shared" si="0"/>
        <v>61816749.209999993</v>
      </c>
      <c r="I6" s="84"/>
    </row>
    <row r="7" spans="2:13" s="76" customFormat="1" x14ac:dyDescent="0.25">
      <c r="B7" s="85" t="s">
        <v>257</v>
      </c>
      <c r="C7" s="685" t="s">
        <v>258</v>
      </c>
      <c r="D7" s="685"/>
      <c r="E7" s="86">
        <f>SUM(E8:E12)</f>
        <v>8199476</v>
      </c>
      <c r="F7" s="86">
        <f>SUM(F8:F12)</f>
        <v>8153729</v>
      </c>
      <c r="G7" s="86">
        <f>SUM(G8:G12)</f>
        <v>6777315.4899999993</v>
      </c>
    </row>
    <row r="8" spans="2:13" s="76" customFormat="1" x14ac:dyDescent="0.25">
      <c r="B8" s="87"/>
      <c r="C8" s="88" t="s">
        <v>259</v>
      </c>
      <c r="D8" s="89" t="s">
        <v>260</v>
      </c>
      <c r="E8" s="90">
        <v>7795426</v>
      </c>
      <c r="F8" s="90">
        <v>7347597</v>
      </c>
      <c r="G8" s="90">
        <v>6025601.8399999999</v>
      </c>
    </row>
    <row r="9" spans="2:13" s="76" customFormat="1" x14ac:dyDescent="0.25">
      <c r="B9" s="87"/>
      <c r="C9" s="88" t="s">
        <v>261</v>
      </c>
      <c r="D9" s="89" t="s">
        <v>262</v>
      </c>
      <c r="E9" s="90">
        <v>37000</v>
      </c>
      <c r="F9" s="90">
        <v>41500</v>
      </c>
      <c r="G9" s="90">
        <v>37765</v>
      </c>
    </row>
    <row r="10" spans="2:13" s="76" customFormat="1" ht="25.5" x14ac:dyDescent="0.2">
      <c r="B10" s="87"/>
      <c r="C10" s="88" t="s">
        <v>608</v>
      </c>
      <c r="D10" s="89" t="s">
        <v>609</v>
      </c>
      <c r="E10" s="90">
        <v>0</v>
      </c>
      <c r="F10" s="90">
        <v>114795</v>
      </c>
      <c r="G10" s="90">
        <v>114954.89</v>
      </c>
      <c r="M10" s="1"/>
    </row>
    <row r="11" spans="2:13" s="76" customFormat="1" ht="15" customHeight="1" x14ac:dyDescent="0.25">
      <c r="B11" s="87"/>
      <c r="C11" s="88" t="s">
        <v>263</v>
      </c>
      <c r="D11" s="89" t="s">
        <v>264</v>
      </c>
      <c r="E11" s="90">
        <v>120000</v>
      </c>
      <c r="F11" s="90">
        <v>370250</v>
      </c>
      <c r="G11" s="90">
        <v>368224.84</v>
      </c>
    </row>
    <row r="12" spans="2:13" s="76" customFormat="1" x14ac:dyDescent="0.25">
      <c r="B12" s="87"/>
      <c r="C12" s="88" t="s">
        <v>265</v>
      </c>
      <c r="D12" s="91" t="s">
        <v>266</v>
      </c>
      <c r="E12" s="90">
        <v>247050</v>
      </c>
      <c r="F12" s="90">
        <v>279587</v>
      </c>
      <c r="G12" s="90">
        <v>230768.92</v>
      </c>
    </row>
    <row r="13" spans="2:13" s="76" customFormat="1" x14ac:dyDescent="0.25">
      <c r="B13" s="85" t="s">
        <v>267</v>
      </c>
      <c r="C13" s="685" t="s">
        <v>268</v>
      </c>
      <c r="D13" s="685"/>
      <c r="E13" s="86">
        <f>E14</f>
        <v>45729</v>
      </c>
      <c r="F13" s="86">
        <f>F14</f>
        <v>45729</v>
      </c>
      <c r="G13" s="86">
        <f>G14</f>
        <v>39623.07</v>
      </c>
    </row>
    <row r="14" spans="2:13" s="76" customFormat="1" x14ac:dyDescent="0.25">
      <c r="B14" s="87"/>
      <c r="C14" s="88" t="s">
        <v>269</v>
      </c>
      <c r="D14" s="89" t="s">
        <v>270</v>
      </c>
      <c r="E14" s="90">
        <v>45729</v>
      </c>
      <c r="F14" s="90">
        <v>45729</v>
      </c>
      <c r="G14" s="90">
        <v>39623.07</v>
      </c>
    </row>
    <row r="15" spans="2:13" s="76" customFormat="1" x14ac:dyDescent="0.25">
      <c r="B15" s="85" t="s">
        <v>271</v>
      </c>
      <c r="C15" s="685" t="s">
        <v>272</v>
      </c>
      <c r="D15" s="685"/>
      <c r="E15" s="86">
        <f>SUM(E16:E17)</f>
        <v>1494665</v>
      </c>
      <c r="F15" s="86">
        <f>SUM(F16:F17)</f>
        <v>1603893</v>
      </c>
      <c r="G15" s="86">
        <f>SUM(G16:G17)</f>
        <v>1467717.72</v>
      </c>
    </row>
    <row r="16" spans="2:13" s="76" customFormat="1" x14ac:dyDescent="0.25">
      <c r="B16" s="87"/>
      <c r="C16" s="88" t="s">
        <v>273</v>
      </c>
      <c r="D16" s="89" t="s">
        <v>274</v>
      </c>
      <c r="E16" s="90">
        <v>1453730</v>
      </c>
      <c r="F16" s="90">
        <v>1561730</v>
      </c>
      <c r="G16" s="90">
        <v>1437146.72</v>
      </c>
    </row>
    <row r="17" spans="2:7" s="76" customFormat="1" x14ac:dyDescent="0.25">
      <c r="B17" s="87"/>
      <c r="C17" s="88" t="s">
        <v>275</v>
      </c>
      <c r="D17" s="89" t="s">
        <v>276</v>
      </c>
      <c r="E17" s="90">
        <v>40935</v>
      </c>
      <c r="F17" s="90">
        <v>42163</v>
      </c>
      <c r="G17" s="90">
        <v>30571</v>
      </c>
    </row>
    <row r="18" spans="2:7" s="76" customFormat="1" x14ac:dyDescent="0.25">
      <c r="B18" s="85" t="s">
        <v>277</v>
      </c>
      <c r="C18" s="685" t="s">
        <v>278</v>
      </c>
      <c r="D18" s="685"/>
      <c r="E18" s="86">
        <f>SUM(E19:E22)</f>
        <v>6277096</v>
      </c>
      <c r="F18" s="86">
        <f>SUM(F19:F22)</f>
        <v>6505367</v>
      </c>
      <c r="G18" s="86">
        <f>SUM(G19:G22)</f>
        <v>6301685.8499999996</v>
      </c>
    </row>
    <row r="19" spans="2:7" s="76" customFormat="1" x14ac:dyDescent="0.25">
      <c r="B19" s="87"/>
      <c r="C19" s="88" t="s">
        <v>279</v>
      </c>
      <c r="D19" s="89" t="s">
        <v>280</v>
      </c>
      <c r="E19" s="90">
        <v>297946</v>
      </c>
      <c r="F19" s="90">
        <v>299946</v>
      </c>
      <c r="G19" s="90">
        <v>262435.03999999998</v>
      </c>
    </row>
    <row r="20" spans="2:7" s="76" customFormat="1" x14ac:dyDescent="0.25">
      <c r="B20" s="92"/>
      <c r="C20" s="88" t="s">
        <v>281</v>
      </c>
      <c r="D20" s="88" t="s">
        <v>282</v>
      </c>
      <c r="E20" s="90">
        <v>150000</v>
      </c>
      <c r="F20" s="93">
        <v>150000</v>
      </c>
      <c r="G20" s="90">
        <v>84840.81</v>
      </c>
    </row>
    <row r="21" spans="2:7" s="76" customFormat="1" x14ac:dyDescent="0.25">
      <c r="B21" s="87"/>
      <c r="C21" s="88" t="s">
        <v>283</v>
      </c>
      <c r="D21" s="89" t="s">
        <v>284</v>
      </c>
      <c r="E21" s="90">
        <v>5788150</v>
      </c>
      <c r="F21" s="93">
        <v>6010421</v>
      </c>
      <c r="G21" s="90">
        <v>5911401</v>
      </c>
    </row>
    <row r="22" spans="2:7" s="76" customFormat="1" x14ac:dyDescent="0.25">
      <c r="B22" s="87"/>
      <c r="C22" s="88" t="s">
        <v>285</v>
      </c>
      <c r="D22" s="89" t="s">
        <v>286</v>
      </c>
      <c r="E22" s="90">
        <v>41000</v>
      </c>
      <c r="F22" s="93">
        <v>45000</v>
      </c>
      <c r="G22" s="90">
        <v>43009</v>
      </c>
    </row>
    <row r="23" spans="2:7" s="76" customFormat="1" x14ac:dyDescent="0.25">
      <c r="B23" s="85" t="s">
        <v>287</v>
      </c>
      <c r="C23" s="685" t="s">
        <v>288</v>
      </c>
      <c r="D23" s="685"/>
      <c r="E23" s="86">
        <f>SUM(E24:E25)</f>
        <v>3408390</v>
      </c>
      <c r="F23" s="86">
        <f>SUM(F24:F25)</f>
        <v>3369990</v>
      </c>
      <c r="G23" s="86">
        <f>SUM(G24:G25)</f>
        <v>2713997.3</v>
      </c>
    </row>
    <row r="24" spans="2:7" s="76" customFormat="1" x14ac:dyDescent="0.25">
      <c r="B24" s="87"/>
      <c r="C24" s="88" t="s">
        <v>289</v>
      </c>
      <c r="D24" s="89" t="s">
        <v>290</v>
      </c>
      <c r="E24" s="90">
        <v>3373500</v>
      </c>
      <c r="F24" s="90">
        <v>3311500</v>
      </c>
      <c r="G24" s="90">
        <v>2666958.98</v>
      </c>
    </row>
    <row r="25" spans="2:7" s="76" customFormat="1" x14ac:dyDescent="0.25">
      <c r="B25" s="87"/>
      <c r="C25" s="88" t="s">
        <v>291</v>
      </c>
      <c r="D25" s="89" t="s">
        <v>292</v>
      </c>
      <c r="E25" s="90">
        <v>34890</v>
      </c>
      <c r="F25" s="90">
        <v>58490</v>
      </c>
      <c r="G25" s="90">
        <v>47038.32</v>
      </c>
    </row>
    <row r="26" spans="2:7" s="76" customFormat="1" x14ac:dyDescent="0.25">
      <c r="B26" s="85" t="s">
        <v>293</v>
      </c>
      <c r="C26" s="685" t="s">
        <v>294</v>
      </c>
      <c r="D26" s="685"/>
      <c r="E26" s="86">
        <f>SUM(E27:E30)</f>
        <v>3870220</v>
      </c>
      <c r="F26" s="86">
        <f>SUM(F27:F30)</f>
        <v>3853520</v>
      </c>
      <c r="G26" s="86">
        <f>SUM(G27:G30)</f>
        <v>2931581.05</v>
      </c>
    </row>
    <row r="27" spans="2:7" s="76" customFormat="1" ht="14.25" customHeight="1" x14ac:dyDescent="0.25">
      <c r="B27" s="87"/>
      <c r="C27" s="88" t="s">
        <v>295</v>
      </c>
      <c r="D27" s="89" t="s">
        <v>296</v>
      </c>
      <c r="E27" s="90">
        <v>41890</v>
      </c>
      <c r="F27" s="90">
        <v>41890</v>
      </c>
      <c r="G27" s="90">
        <v>38082.050000000003</v>
      </c>
    </row>
    <row r="28" spans="2:7" s="76" customFormat="1" x14ac:dyDescent="0.25">
      <c r="B28" s="87"/>
      <c r="C28" s="88" t="s">
        <v>297</v>
      </c>
      <c r="D28" s="89" t="s">
        <v>298</v>
      </c>
      <c r="E28" s="90">
        <v>1543960</v>
      </c>
      <c r="F28" s="90">
        <v>1562460</v>
      </c>
      <c r="G28" s="90">
        <v>1419998.31</v>
      </c>
    </row>
    <row r="29" spans="2:7" s="76" customFormat="1" x14ac:dyDescent="0.25">
      <c r="B29" s="87"/>
      <c r="C29" s="88" t="s">
        <v>299</v>
      </c>
      <c r="D29" s="89" t="s">
        <v>300</v>
      </c>
      <c r="E29" s="90">
        <v>1614615</v>
      </c>
      <c r="F29" s="90">
        <v>1513315</v>
      </c>
      <c r="G29" s="90">
        <v>923734.24</v>
      </c>
    </row>
    <row r="30" spans="2:7" s="76" customFormat="1" x14ac:dyDescent="0.25">
      <c r="B30" s="87"/>
      <c r="C30" s="88" t="s">
        <v>301</v>
      </c>
      <c r="D30" s="89" t="s">
        <v>294</v>
      </c>
      <c r="E30" s="90">
        <v>669755</v>
      </c>
      <c r="F30" s="90">
        <v>735855</v>
      </c>
      <c r="G30" s="90">
        <v>549766.44999999995</v>
      </c>
    </row>
    <row r="31" spans="2:7" s="76" customFormat="1" x14ac:dyDescent="0.25">
      <c r="B31" s="85" t="s">
        <v>623</v>
      </c>
      <c r="C31" s="685" t="s">
        <v>625</v>
      </c>
      <c r="D31" s="685"/>
      <c r="E31" s="86">
        <f>E32</f>
        <v>11000</v>
      </c>
      <c r="F31" s="86">
        <f t="shared" ref="F31:G31" si="1">F32</f>
        <v>8000</v>
      </c>
      <c r="G31" s="86">
        <f t="shared" si="1"/>
        <v>7540.07</v>
      </c>
    </row>
    <row r="32" spans="2:7" s="76" customFormat="1" x14ac:dyDescent="0.25">
      <c r="B32" s="87"/>
      <c r="C32" s="88" t="s">
        <v>624</v>
      </c>
      <c r="D32" s="89" t="s">
        <v>626</v>
      </c>
      <c r="E32" s="90">
        <v>11000</v>
      </c>
      <c r="F32" s="90">
        <v>8000</v>
      </c>
      <c r="G32" s="90">
        <v>7540.07</v>
      </c>
    </row>
    <row r="33" spans="2:7" s="76" customFormat="1" x14ac:dyDescent="0.25">
      <c r="B33" s="85" t="s">
        <v>302</v>
      </c>
      <c r="C33" s="685" t="s">
        <v>303</v>
      </c>
      <c r="D33" s="685"/>
      <c r="E33" s="86">
        <f>SUM(E34:E37)</f>
        <v>5819803</v>
      </c>
      <c r="F33" s="86">
        <f>SUM(F34:F37)</f>
        <v>5891243</v>
      </c>
      <c r="G33" s="86">
        <f>SUM(G34:G37)</f>
        <v>4433166.49</v>
      </c>
    </row>
    <row r="34" spans="2:7" s="76" customFormat="1" ht="15" customHeight="1" x14ac:dyDescent="0.25">
      <c r="B34" s="87"/>
      <c r="C34" s="88" t="s">
        <v>304</v>
      </c>
      <c r="D34" s="89" t="s">
        <v>305</v>
      </c>
      <c r="E34" s="90">
        <v>3465680</v>
      </c>
      <c r="F34" s="90">
        <v>3511680</v>
      </c>
      <c r="G34" s="90">
        <v>2688603.94</v>
      </c>
    </row>
    <row r="35" spans="2:7" s="76" customFormat="1" x14ac:dyDescent="0.25">
      <c r="B35" s="87"/>
      <c r="C35" s="88" t="s">
        <v>306</v>
      </c>
      <c r="D35" s="89" t="s">
        <v>307</v>
      </c>
      <c r="E35" s="90">
        <v>2115128</v>
      </c>
      <c r="F35" s="90">
        <v>2114368</v>
      </c>
      <c r="G35" s="90">
        <v>1527465.22</v>
      </c>
    </row>
    <row r="36" spans="2:7" s="76" customFormat="1" x14ac:dyDescent="0.25">
      <c r="B36" s="87"/>
      <c r="C36" s="88" t="s">
        <v>308</v>
      </c>
      <c r="D36" s="89" t="s">
        <v>309</v>
      </c>
      <c r="E36" s="90">
        <v>27185</v>
      </c>
      <c r="F36" s="90">
        <v>34185</v>
      </c>
      <c r="G36" s="90">
        <v>31507.83</v>
      </c>
    </row>
    <row r="37" spans="2:7" s="76" customFormat="1" x14ac:dyDescent="0.25">
      <c r="B37" s="87"/>
      <c r="C37" s="88" t="s">
        <v>310</v>
      </c>
      <c r="D37" s="89" t="s">
        <v>311</v>
      </c>
      <c r="E37" s="90">
        <v>211810</v>
      </c>
      <c r="F37" s="90">
        <v>231010</v>
      </c>
      <c r="G37" s="90">
        <v>185589.5</v>
      </c>
    </row>
    <row r="38" spans="2:7" s="76" customFormat="1" x14ac:dyDescent="0.25">
      <c r="B38" s="85" t="s">
        <v>312</v>
      </c>
      <c r="C38" s="685" t="s">
        <v>313</v>
      </c>
      <c r="D38" s="685"/>
      <c r="E38" s="86">
        <f>SUM(E39:E47)-E44-E45-E46</f>
        <v>31046624</v>
      </c>
      <c r="F38" s="86">
        <f>SUM(F39:F47)-F44-F45-F46</f>
        <v>32747782</v>
      </c>
      <c r="G38" s="86">
        <f>SUM(G39:G47)-G44-G45-G46</f>
        <v>30261727.800000001</v>
      </c>
    </row>
    <row r="39" spans="2:7" s="76" customFormat="1" ht="25.5" x14ac:dyDescent="0.25">
      <c r="B39" s="87"/>
      <c r="C39" s="88" t="s">
        <v>314</v>
      </c>
      <c r="D39" s="89" t="s">
        <v>315</v>
      </c>
      <c r="E39" s="90">
        <v>6860702</v>
      </c>
      <c r="F39" s="90">
        <v>7080146</v>
      </c>
      <c r="G39" s="90">
        <v>6439344.6399999997</v>
      </c>
    </row>
    <row r="40" spans="2:7" s="76" customFormat="1" ht="20.25" customHeight="1" x14ac:dyDescent="0.25">
      <c r="B40" s="87"/>
      <c r="C40" s="88" t="s">
        <v>316</v>
      </c>
      <c r="D40" s="89" t="s">
        <v>317</v>
      </c>
      <c r="E40" s="90">
        <v>5957964</v>
      </c>
      <c r="F40" s="90">
        <v>5939516</v>
      </c>
      <c r="G40" s="90">
        <v>5088512.78</v>
      </c>
    </row>
    <row r="41" spans="2:7" s="76" customFormat="1" ht="25.5" x14ac:dyDescent="0.25">
      <c r="B41" s="87"/>
      <c r="C41" s="88" t="s">
        <v>318</v>
      </c>
      <c r="D41" s="89" t="s">
        <v>319</v>
      </c>
      <c r="E41" s="90">
        <v>8529239</v>
      </c>
      <c r="F41" s="90">
        <v>9872571</v>
      </c>
      <c r="G41" s="90">
        <v>9215034.8100000005</v>
      </c>
    </row>
    <row r="42" spans="2:7" s="76" customFormat="1" x14ac:dyDescent="0.25">
      <c r="B42" s="87"/>
      <c r="C42" s="88" t="s">
        <v>320</v>
      </c>
      <c r="D42" s="88" t="s">
        <v>321</v>
      </c>
      <c r="E42" s="90">
        <v>4734494</v>
      </c>
      <c r="F42" s="90">
        <v>4860654</v>
      </c>
      <c r="G42" s="90">
        <v>4789890.93</v>
      </c>
    </row>
    <row r="43" spans="2:7" s="76" customFormat="1" x14ac:dyDescent="0.25">
      <c r="B43" s="87"/>
      <c r="C43" s="88" t="s">
        <v>322</v>
      </c>
      <c r="D43" s="89" t="s">
        <v>323</v>
      </c>
      <c r="E43" s="90">
        <f>4882090</f>
        <v>4882090</v>
      </c>
      <c r="F43" s="90">
        <v>4907576</v>
      </c>
      <c r="G43" s="90">
        <v>4644643.93</v>
      </c>
    </row>
    <row r="44" spans="2:7" s="76" customFormat="1" ht="12.75" customHeight="1" x14ac:dyDescent="0.25">
      <c r="B44" s="87"/>
      <c r="C44" s="88" t="s">
        <v>324</v>
      </c>
      <c r="D44" s="89" t="s">
        <v>323</v>
      </c>
      <c r="E44" s="90">
        <v>1825263</v>
      </c>
      <c r="F44" s="90">
        <v>1859490</v>
      </c>
      <c r="G44" s="90">
        <v>1566187.87</v>
      </c>
    </row>
    <row r="45" spans="2:7" s="76" customFormat="1" ht="12" customHeight="1" x14ac:dyDescent="0.25">
      <c r="B45" s="87"/>
      <c r="C45" s="88" t="s">
        <v>325</v>
      </c>
      <c r="D45" s="89" t="s">
        <v>326</v>
      </c>
      <c r="E45" s="90">
        <v>1049473</v>
      </c>
      <c r="F45" s="90">
        <v>1071421</v>
      </c>
      <c r="G45" s="90">
        <v>1209219.1599999999</v>
      </c>
    </row>
    <row r="46" spans="2:7" s="76" customFormat="1" x14ac:dyDescent="0.25">
      <c r="B46" s="87"/>
      <c r="C46" s="88" t="s">
        <v>327</v>
      </c>
      <c r="D46" s="89" t="s">
        <v>328</v>
      </c>
      <c r="E46" s="90">
        <v>1688853</v>
      </c>
      <c r="F46" s="90">
        <v>1660264</v>
      </c>
      <c r="G46" s="90">
        <v>1588887.91</v>
      </c>
    </row>
    <row r="47" spans="2:7" s="76" customFormat="1" x14ac:dyDescent="0.25">
      <c r="B47" s="87"/>
      <c r="C47" s="88" t="s">
        <v>329</v>
      </c>
      <c r="D47" s="89" t="s">
        <v>330</v>
      </c>
      <c r="E47" s="90">
        <v>82135</v>
      </c>
      <c r="F47" s="90">
        <v>87319</v>
      </c>
      <c r="G47" s="90">
        <v>84300.71</v>
      </c>
    </row>
    <row r="48" spans="2:7" s="76" customFormat="1" x14ac:dyDescent="0.25">
      <c r="B48" s="85">
        <v>10</v>
      </c>
      <c r="C48" s="685" t="s">
        <v>331</v>
      </c>
      <c r="D48" s="685"/>
      <c r="E48" s="86">
        <f>SUM(E49:E53)</f>
        <v>5032980</v>
      </c>
      <c r="F48" s="86">
        <f>SUM(F49:F53)</f>
        <v>7380235</v>
      </c>
      <c r="G48" s="86">
        <f>SUM(G49:G53)</f>
        <v>6882394.3699999992</v>
      </c>
    </row>
    <row r="49" spans="2:8" s="76" customFormat="1" x14ac:dyDescent="0.25">
      <c r="B49" s="94"/>
      <c r="C49" s="88" t="s">
        <v>332</v>
      </c>
      <c r="D49" s="89" t="s">
        <v>333</v>
      </c>
      <c r="E49" s="90">
        <v>3024530</v>
      </c>
      <c r="F49" s="90">
        <v>3232508</v>
      </c>
      <c r="G49" s="90">
        <v>2987421.05</v>
      </c>
    </row>
    <row r="50" spans="2:8" s="76" customFormat="1" x14ac:dyDescent="0.25">
      <c r="B50" s="87"/>
      <c r="C50" s="88" t="s">
        <v>334</v>
      </c>
      <c r="D50" s="89" t="s">
        <v>335</v>
      </c>
      <c r="E50" s="90">
        <v>1234676</v>
      </c>
      <c r="F50" s="90">
        <v>1284803</v>
      </c>
      <c r="G50" s="90">
        <v>1131046.68</v>
      </c>
    </row>
    <row r="51" spans="2:8" s="76" customFormat="1" x14ac:dyDescent="0.25">
      <c r="B51" s="87"/>
      <c r="C51" s="88" t="s">
        <v>336</v>
      </c>
      <c r="D51" s="89" t="s">
        <v>337</v>
      </c>
      <c r="E51" s="90">
        <v>329535</v>
      </c>
      <c r="F51" s="90">
        <v>516956</v>
      </c>
      <c r="G51" s="90">
        <v>484793.59</v>
      </c>
    </row>
    <row r="52" spans="2:8" s="76" customFormat="1" ht="25.5" x14ac:dyDescent="0.25">
      <c r="B52" s="87"/>
      <c r="C52" s="88" t="s">
        <v>338</v>
      </c>
      <c r="D52" s="89" t="s">
        <v>339</v>
      </c>
      <c r="E52" s="90">
        <v>150124</v>
      </c>
      <c r="F52" s="90">
        <v>2023310</v>
      </c>
      <c r="G52" s="90">
        <v>1957424.51</v>
      </c>
    </row>
    <row r="53" spans="2:8" s="76" customFormat="1" x14ac:dyDescent="0.25">
      <c r="B53" s="95"/>
      <c r="C53" s="96" t="s">
        <v>340</v>
      </c>
      <c r="D53" s="96" t="s">
        <v>341</v>
      </c>
      <c r="E53" s="97">
        <v>294115</v>
      </c>
      <c r="F53" s="97">
        <v>322658</v>
      </c>
      <c r="G53" s="97">
        <v>321708.53999999998</v>
      </c>
    </row>
    <row r="54" spans="2:8" s="76" customFormat="1" x14ac:dyDescent="0.2">
      <c r="B54" s="35"/>
      <c r="C54" s="98"/>
      <c r="D54" s="35"/>
      <c r="E54" s="35"/>
      <c r="F54" s="35"/>
      <c r="G54" s="35"/>
    </row>
    <row r="55" spans="2:8" s="76" customFormat="1" x14ac:dyDescent="0.2">
      <c r="B55" s="35"/>
      <c r="C55" s="98"/>
      <c r="D55" s="35"/>
      <c r="E55" s="35"/>
      <c r="F55" s="99"/>
      <c r="G55" s="99"/>
    </row>
    <row r="56" spans="2:8" s="76" customFormat="1" x14ac:dyDescent="0.2">
      <c r="B56" s="35"/>
      <c r="C56" s="98"/>
      <c r="D56" s="35"/>
      <c r="E56" s="35"/>
      <c r="F56" s="35"/>
      <c r="G56" s="99"/>
    </row>
    <row r="57" spans="2:8" s="76" customFormat="1" x14ac:dyDescent="0.2">
      <c r="B57" s="35"/>
      <c r="C57" s="98"/>
      <c r="D57" s="35"/>
      <c r="E57" s="35"/>
      <c r="F57" s="35"/>
      <c r="G57" s="35"/>
    </row>
    <row r="58" spans="2:8" s="76" customFormat="1" ht="26.25" customHeight="1" x14ac:dyDescent="0.2">
      <c r="B58" s="35"/>
      <c r="C58" s="98"/>
      <c r="D58" s="35"/>
      <c r="E58" s="35"/>
      <c r="F58" s="35"/>
      <c r="G58" s="35"/>
    </row>
    <row r="59" spans="2:8" s="76" customFormat="1" x14ac:dyDescent="0.2">
      <c r="B59" s="35"/>
      <c r="C59" s="98"/>
      <c r="D59" s="35"/>
      <c r="E59" s="35"/>
      <c r="F59" s="36"/>
      <c r="G59" s="35"/>
    </row>
    <row r="60" spans="2:8" s="76" customFormat="1" x14ac:dyDescent="0.2">
      <c r="B60" s="35"/>
      <c r="C60" s="98"/>
      <c r="D60" s="35"/>
      <c r="E60" s="35"/>
      <c r="F60" s="36"/>
      <c r="G60" s="35"/>
    </row>
    <row r="61" spans="2:8" s="1" customFormat="1" ht="14.25" x14ac:dyDescent="0.2">
      <c r="B61" s="35"/>
      <c r="C61" s="98"/>
      <c r="D61" s="35"/>
      <c r="E61" s="35"/>
      <c r="F61" s="36"/>
      <c r="G61" s="35"/>
      <c r="H61" s="35"/>
    </row>
    <row r="62" spans="2:8" s="1" customFormat="1" ht="14.25" x14ac:dyDescent="0.2">
      <c r="B62" s="35"/>
      <c r="C62" s="98"/>
      <c r="D62" s="35"/>
      <c r="E62" s="35"/>
      <c r="F62" s="36"/>
      <c r="G62" s="35"/>
      <c r="H62" s="35"/>
    </row>
    <row r="63" spans="2:8" s="1" customFormat="1" ht="14.25" x14ac:dyDescent="0.2">
      <c r="B63" s="35"/>
      <c r="C63" s="98"/>
      <c r="D63" s="35"/>
      <c r="E63" s="35"/>
      <c r="F63" s="36"/>
      <c r="G63" s="35"/>
      <c r="H63" s="35"/>
    </row>
    <row r="64" spans="2:8" s="1" customFormat="1" ht="14.25" x14ac:dyDescent="0.2">
      <c r="B64" s="35"/>
      <c r="C64" s="98"/>
      <c r="D64" s="35"/>
      <c r="E64" s="35"/>
      <c r="F64" s="100"/>
      <c r="G64" s="35"/>
      <c r="H64" s="35"/>
    </row>
  </sheetData>
  <mergeCells count="13">
    <mergeCell ref="C48:D48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3:D33"/>
    <mergeCell ref="C38:D38"/>
    <mergeCell ref="C31:D31"/>
  </mergeCells>
  <pageMargins left="0.55118110236220474" right="0.19685039370078741" top="0.51181102362204722" bottom="0.39370078740157483" header="0.27559055118110237" footer="0.31496062992125984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2:I39"/>
  <sheetViews>
    <sheetView workbookViewId="0"/>
  </sheetViews>
  <sheetFormatPr defaultRowHeight="12.75" x14ac:dyDescent="0.2"/>
  <cols>
    <col min="1" max="1" width="14.42578125" style="35" customWidth="1"/>
    <col min="2" max="2" width="3.42578125" style="35" customWidth="1"/>
    <col min="3" max="3" width="8.7109375" style="125" customWidth="1"/>
    <col min="4" max="4" width="33.140625" style="35" customWidth="1"/>
    <col min="5" max="5" width="14.42578125" style="35" customWidth="1"/>
    <col min="6" max="6" width="14.5703125" style="35" customWidth="1"/>
    <col min="7" max="7" width="16" style="35" customWidth="1"/>
    <col min="8" max="8" width="8.85546875" style="35" customWidth="1"/>
    <col min="9" max="9" width="9.140625" style="35" customWidth="1"/>
    <col min="10" max="16384" width="9.140625" style="35"/>
  </cols>
  <sheetData>
    <row r="2" spans="2:9" ht="14.25" x14ac:dyDescent="0.2">
      <c r="C2" s="2"/>
      <c r="D2" s="103"/>
      <c r="E2" s="84"/>
      <c r="F2" s="84"/>
      <c r="G2" s="81" t="s">
        <v>342</v>
      </c>
    </row>
    <row r="3" spans="2:9" ht="14.25" x14ac:dyDescent="0.2">
      <c r="C3" s="2"/>
      <c r="D3" s="103"/>
      <c r="E3" s="8"/>
      <c r="F3" s="8"/>
      <c r="G3" s="84"/>
    </row>
    <row r="4" spans="2:9" ht="18" x14ac:dyDescent="0.2">
      <c r="B4" s="568" t="s">
        <v>628</v>
      </c>
      <c r="C4" s="568"/>
      <c r="D4" s="568"/>
      <c r="E4" s="568"/>
      <c r="F4" s="568"/>
      <c r="G4" s="568"/>
    </row>
    <row r="5" spans="2:9" ht="20.25" x14ac:dyDescent="0.2">
      <c r="C5" s="104"/>
      <c r="D5" s="104"/>
      <c r="E5" s="104"/>
      <c r="F5" s="104"/>
      <c r="G5" s="104"/>
    </row>
    <row r="6" spans="2:9" ht="30" customHeight="1" x14ac:dyDescent="0.2">
      <c r="B6" s="690" t="s">
        <v>0</v>
      </c>
      <c r="C6" s="690"/>
      <c r="D6" s="690"/>
      <c r="E6" s="105" t="s">
        <v>253</v>
      </c>
      <c r="F6" s="105" t="s">
        <v>254</v>
      </c>
      <c r="G6" s="105" t="s">
        <v>255</v>
      </c>
    </row>
    <row r="7" spans="2:9" s="8" customFormat="1" ht="17.25" customHeight="1" x14ac:dyDescent="0.25">
      <c r="B7" s="691" t="s">
        <v>343</v>
      </c>
      <c r="C7" s="691"/>
      <c r="D7" s="691"/>
      <c r="E7" s="106">
        <f>E8+E12+E15+E17+E21+E25+E10+E32</f>
        <v>72090511</v>
      </c>
      <c r="F7" s="106">
        <f>F8+F12+F15+F17+F21+F25+F10+F32</f>
        <v>79789422</v>
      </c>
      <c r="G7" s="106">
        <f>G8+G12+G15+G17+G21+G25+G10+G32</f>
        <v>17850451.949999999</v>
      </c>
      <c r="I7" s="84"/>
    </row>
    <row r="8" spans="2:9" ht="14.25" customHeight="1" x14ac:dyDescent="0.2">
      <c r="B8" s="107" t="s">
        <v>257</v>
      </c>
      <c r="C8" s="688" t="s">
        <v>258</v>
      </c>
      <c r="D8" s="688"/>
      <c r="E8" s="109">
        <f>E9</f>
        <v>3647918</v>
      </c>
      <c r="F8" s="109">
        <f>F9</f>
        <v>2339184</v>
      </c>
      <c r="G8" s="109">
        <f>G9</f>
        <v>912512</v>
      </c>
    </row>
    <row r="9" spans="2:9" ht="15" customHeight="1" x14ac:dyDescent="0.2">
      <c r="B9" s="110"/>
      <c r="C9" s="111" t="s">
        <v>259</v>
      </c>
      <c r="D9" s="89" t="s">
        <v>260</v>
      </c>
      <c r="E9" s="90">
        <v>3647918</v>
      </c>
      <c r="F9" s="90">
        <v>2339184</v>
      </c>
      <c r="G9" s="90">
        <v>912512</v>
      </c>
    </row>
    <row r="10" spans="2:9" ht="12.75" customHeight="1" x14ac:dyDescent="0.2">
      <c r="B10" s="112" t="s">
        <v>271</v>
      </c>
      <c r="C10" s="689" t="s">
        <v>272</v>
      </c>
      <c r="D10" s="689"/>
      <c r="E10" s="114">
        <f>E11</f>
        <v>38200</v>
      </c>
      <c r="F10" s="114">
        <f t="shared" ref="F10:G10" si="0">F11</f>
        <v>49900</v>
      </c>
      <c r="G10" s="114">
        <f t="shared" si="0"/>
        <v>21442.6</v>
      </c>
    </row>
    <row r="11" spans="2:9" x14ac:dyDescent="0.2">
      <c r="B11" s="87"/>
      <c r="C11" s="111" t="s">
        <v>273</v>
      </c>
      <c r="D11" s="89" t="s">
        <v>274</v>
      </c>
      <c r="E11" s="115">
        <v>38200</v>
      </c>
      <c r="F11" s="115">
        <v>49900</v>
      </c>
      <c r="G11" s="115">
        <v>21442.6</v>
      </c>
    </row>
    <row r="12" spans="2:9" x14ac:dyDescent="0.2">
      <c r="B12" s="107" t="s">
        <v>277</v>
      </c>
      <c r="C12" s="688" t="s">
        <v>278</v>
      </c>
      <c r="D12" s="688"/>
      <c r="E12" s="109">
        <f>SUM(E13:E14)</f>
        <v>4724157</v>
      </c>
      <c r="F12" s="109">
        <f t="shared" ref="F12:G12" si="1">SUM(F13:F14)</f>
        <v>5038695</v>
      </c>
      <c r="G12" s="109">
        <f t="shared" si="1"/>
        <v>3221557.66</v>
      </c>
    </row>
    <row r="13" spans="2:9" s="1" customFormat="1" ht="12.75" customHeight="1" x14ac:dyDescent="0.2">
      <c r="B13" s="116"/>
      <c r="C13" s="111" t="s">
        <v>281</v>
      </c>
      <c r="D13" s="88" t="s">
        <v>282</v>
      </c>
      <c r="E13" s="93">
        <v>183000</v>
      </c>
      <c r="F13" s="93">
        <v>219000</v>
      </c>
      <c r="G13" s="93">
        <v>150906.14000000001</v>
      </c>
    </row>
    <row r="14" spans="2:9" s="1" customFormat="1" ht="14.25" x14ac:dyDescent="0.2">
      <c r="B14" s="110"/>
      <c r="C14" s="117" t="s">
        <v>283</v>
      </c>
      <c r="D14" s="118" t="s">
        <v>284</v>
      </c>
      <c r="E14" s="93">
        <v>4541157</v>
      </c>
      <c r="F14" s="93">
        <v>4819695</v>
      </c>
      <c r="G14" s="93">
        <v>3070651.52</v>
      </c>
    </row>
    <row r="15" spans="2:9" s="1" customFormat="1" ht="12.75" customHeight="1" x14ac:dyDescent="0.2">
      <c r="B15" s="107" t="s">
        <v>287</v>
      </c>
      <c r="C15" s="688" t="s">
        <v>288</v>
      </c>
      <c r="D15" s="688"/>
      <c r="E15" s="109">
        <f>E16</f>
        <v>196400</v>
      </c>
      <c r="F15" s="109">
        <f t="shared" ref="F15:G15" si="2">F16</f>
        <v>515100</v>
      </c>
      <c r="G15" s="109">
        <f t="shared" si="2"/>
        <v>105590.22</v>
      </c>
    </row>
    <row r="16" spans="2:9" s="1" customFormat="1" ht="14.25" x14ac:dyDescent="0.2">
      <c r="B16" s="110"/>
      <c r="C16" s="117" t="s">
        <v>289</v>
      </c>
      <c r="D16" s="118" t="s">
        <v>290</v>
      </c>
      <c r="E16" s="115">
        <v>196400</v>
      </c>
      <c r="F16" s="115">
        <v>515100</v>
      </c>
      <c r="G16" s="115">
        <v>105590.22</v>
      </c>
    </row>
    <row r="17" spans="2:9" s="1" customFormat="1" ht="14.25" x14ac:dyDescent="0.2">
      <c r="B17" s="107" t="s">
        <v>293</v>
      </c>
      <c r="C17" s="688" t="s">
        <v>294</v>
      </c>
      <c r="D17" s="688"/>
      <c r="E17" s="109">
        <f>SUM(E18:E20)</f>
        <v>16427276</v>
      </c>
      <c r="F17" s="109">
        <f>SUM(F18:F20)</f>
        <v>17129952</v>
      </c>
      <c r="G17" s="109">
        <f t="shared" ref="G17" si="3">SUM(G18:G20)</f>
        <v>1009153.24</v>
      </c>
    </row>
    <row r="18" spans="2:9" s="1" customFormat="1" ht="12.75" customHeight="1" x14ac:dyDescent="0.2">
      <c r="B18" s="110"/>
      <c r="C18" s="117" t="s">
        <v>297</v>
      </c>
      <c r="D18" s="118" t="s">
        <v>298</v>
      </c>
      <c r="E18" s="115">
        <v>762576</v>
      </c>
      <c r="F18" s="115">
        <v>1384202</v>
      </c>
      <c r="G18" s="115">
        <v>848621.62</v>
      </c>
    </row>
    <row r="19" spans="2:9" s="1" customFormat="1" ht="12.75" customHeight="1" x14ac:dyDescent="0.2">
      <c r="B19" s="110"/>
      <c r="C19" s="117" t="s">
        <v>299</v>
      </c>
      <c r="D19" s="118" t="s">
        <v>300</v>
      </c>
      <c r="E19" s="115">
        <v>14952700</v>
      </c>
      <c r="F19" s="115">
        <v>14961100</v>
      </c>
      <c r="G19" s="115">
        <v>89340</v>
      </c>
    </row>
    <row r="20" spans="2:9" s="1" customFormat="1" ht="12.75" customHeight="1" x14ac:dyDescent="0.2">
      <c r="B20" s="110"/>
      <c r="C20" s="111" t="s">
        <v>301</v>
      </c>
      <c r="D20" s="89" t="s">
        <v>294</v>
      </c>
      <c r="E20" s="90">
        <v>712000</v>
      </c>
      <c r="F20" s="90">
        <v>784650</v>
      </c>
      <c r="G20" s="90">
        <v>71191.62</v>
      </c>
    </row>
    <row r="21" spans="2:9" s="1" customFormat="1" ht="16.5" customHeight="1" x14ac:dyDescent="0.2">
      <c r="B21" s="112" t="s">
        <v>302</v>
      </c>
      <c r="C21" s="689" t="s">
        <v>303</v>
      </c>
      <c r="D21" s="689"/>
      <c r="E21" s="114">
        <f>SUM(E22:E24)</f>
        <v>43724569</v>
      </c>
      <c r="F21" s="114">
        <f>SUM(F22:F24)</f>
        <v>51029639</v>
      </c>
      <c r="G21" s="114">
        <f>SUM(G22:G24)</f>
        <v>9158595.7599999998</v>
      </c>
      <c r="I21" s="4"/>
    </row>
    <row r="22" spans="2:9" s="1" customFormat="1" ht="14.25" x14ac:dyDescent="0.2">
      <c r="B22" s="110"/>
      <c r="C22" s="117" t="s">
        <v>304</v>
      </c>
      <c r="D22" s="118" t="s">
        <v>305</v>
      </c>
      <c r="E22" s="115">
        <v>29618142</v>
      </c>
      <c r="F22" s="115">
        <v>36431972</v>
      </c>
      <c r="G22" s="115">
        <v>2954902.17</v>
      </c>
    </row>
    <row r="23" spans="2:9" s="1" customFormat="1" ht="14.25" x14ac:dyDescent="0.2">
      <c r="B23" s="87"/>
      <c r="C23" s="111" t="s">
        <v>306</v>
      </c>
      <c r="D23" s="89" t="s">
        <v>344</v>
      </c>
      <c r="E23" s="115">
        <v>13870427</v>
      </c>
      <c r="F23" s="115">
        <v>14334647</v>
      </c>
      <c r="G23" s="115">
        <v>6116967.6799999997</v>
      </c>
    </row>
    <row r="24" spans="2:9" s="1" customFormat="1" ht="14.25" x14ac:dyDescent="0.2">
      <c r="B24" s="110"/>
      <c r="C24" s="117" t="s">
        <v>310</v>
      </c>
      <c r="D24" s="118" t="s">
        <v>345</v>
      </c>
      <c r="E24" s="115">
        <v>236000</v>
      </c>
      <c r="F24" s="115">
        <v>263020</v>
      </c>
      <c r="G24" s="115">
        <v>86725.91</v>
      </c>
    </row>
    <row r="25" spans="2:9" s="1" customFormat="1" ht="21.75" customHeight="1" x14ac:dyDescent="0.2">
      <c r="B25" s="112" t="s">
        <v>312</v>
      </c>
      <c r="C25" s="689" t="s">
        <v>313</v>
      </c>
      <c r="D25" s="689"/>
      <c r="E25" s="114">
        <f>SUM(E26:E31)</f>
        <v>3001991</v>
      </c>
      <c r="F25" s="114">
        <f t="shared" ref="F25:G25" si="4">SUM(F26:F31)</f>
        <v>3484924</v>
      </c>
      <c r="G25" s="114">
        <f t="shared" si="4"/>
        <v>3276331.14</v>
      </c>
      <c r="H25" s="114"/>
      <c r="I25" s="4"/>
    </row>
    <row r="26" spans="2:9" s="1" customFormat="1" ht="25.5" x14ac:dyDescent="0.2">
      <c r="B26" s="110"/>
      <c r="C26" s="111" t="s">
        <v>314</v>
      </c>
      <c r="D26" s="88" t="s">
        <v>315</v>
      </c>
      <c r="E26" s="90">
        <v>1136391</v>
      </c>
      <c r="F26" s="90">
        <v>1130891</v>
      </c>
      <c r="G26" s="90">
        <v>1087967.9099999999</v>
      </c>
    </row>
    <row r="27" spans="2:9" s="1" customFormat="1" ht="25.5" x14ac:dyDescent="0.2">
      <c r="B27" s="110"/>
      <c r="C27" s="111" t="s">
        <v>316</v>
      </c>
      <c r="D27" s="88" t="s">
        <v>489</v>
      </c>
      <c r="E27" s="90">
        <v>100000</v>
      </c>
      <c r="F27" s="90">
        <v>100000</v>
      </c>
      <c r="G27" s="90">
        <v>97835.22</v>
      </c>
    </row>
    <row r="28" spans="2:9" s="1" customFormat="1" ht="25.5" x14ac:dyDescent="0.2">
      <c r="B28" s="110"/>
      <c r="C28" s="111" t="s">
        <v>318</v>
      </c>
      <c r="D28" s="89" t="s">
        <v>319</v>
      </c>
      <c r="E28" s="90">
        <v>1265600</v>
      </c>
      <c r="F28" s="90">
        <v>1512081</v>
      </c>
      <c r="G28" s="90">
        <v>1349807.65</v>
      </c>
    </row>
    <row r="29" spans="2:9" s="1" customFormat="1" ht="14.25" customHeight="1" x14ac:dyDescent="0.2">
      <c r="B29" s="110"/>
      <c r="C29" s="111" t="s">
        <v>320</v>
      </c>
      <c r="D29" s="89" t="s">
        <v>488</v>
      </c>
      <c r="E29" s="90">
        <v>0</v>
      </c>
      <c r="F29" s="90">
        <v>5800</v>
      </c>
      <c r="G29" s="90">
        <v>5700</v>
      </c>
    </row>
    <row r="30" spans="2:9" s="1" customFormat="1" ht="14.25" customHeight="1" x14ac:dyDescent="0.2">
      <c r="B30" s="110"/>
      <c r="C30" s="111" t="s">
        <v>322</v>
      </c>
      <c r="D30" s="89" t="s">
        <v>323</v>
      </c>
      <c r="E30" s="90">
        <v>250000</v>
      </c>
      <c r="F30" s="90">
        <v>368076</v>
      </c>
      <c r="G30" s="90">
        <v>367510.18</v>
      </c>
    </row>
    <row r="31" spans="2:9" s="1" customFormat="1" ht="14.25" x14ac:dyDescent="0.2">
      <c r="B31" s="110"/>
      <c r="C31" s="111" t="s">
        <v>327</v>
      </c>
      <c r="D31" s="89" t="s">
        <v>328</v>
      </c>
      <c r="E31" s="90">
        <v>250000</v>
      </c>
      <c r="F31" s="90">
        <v>368076</v>
      </c>
      <c r="G31" s="90">
        <v>367510.18</v>
      </c>
    </row>
    <row r="32" spans="2:9" s="1" customFormat="1" ht="14.25" x14ac:dyDescent="0.2">
      <c r="B32" s="112" t="s">
        <v>346</v>
      </c>
      <c r="C32" s="689" t="s">
        <v>331</v>
      </c>
      <c r="D32" s="689"/>
      <c r="E32" s="114">
        <f>SUM(E33:E36)</f>
        <v>330000</v>
      </c>
      <c r="F32" s="114">
        <f>SUM(F33:F36)</f>
        <v>202028</v>
      </c>
      <c r="G32" s="114">
        <f>SUM(G33:G36)</f>
        <v>145269.32999999999</v>
      </c>
    </row>
    <row r="33" spans="2:7" s="1" customFormat="1" ht="14.25" x14ac:dyDescent="0.2">
      <c r="B33" s="110"/>
      <c r="C33" s="111" t="s">
        <v>334</v>
      </c>
      <c r="D33" s="89" t="s">
        <v>473</v>
      </c>
      <c r="E33" s="90">
        <v>0</v>
      </c>
      <c r="F33" s="90">
        <v>46070</v>
      </c>
      <c r="G33" s="90">
        <v>45645.88</v>
      </c>
    </row>
    <row r="34" spans="2:7" s="1" customFormat="1" ht="14.25" x14ac:dyDescent="0.2">
      <c r="B34" s="110"/>
      <c r="C34" s="111" t="s">
        <v>336</v>
      </c>
      <c r="D34" s="89" t="s">
        <v>337</v>
      </c>
      <c r="E34" s="90">
        <v>0</v>
      </c>
      <c r="F34" s="90">
        <v>2000</v>
      </c>
      <c r="G34" s="90">
        <v>1999</v>
      </c>
    </row>
    <row r="35" spans="2:7" s="1" customFormat="1" ht="25.5" x14ac:dyDescent="0.2">
      <c r="B35" s="119"/>
      <c r="C35" s="120" t="s">
        <v>338</v>
      </c>
      <c r="D35" s="89" t="s">
        <v>339</v>
      </c>
      <c r="E35" s="121">
        <v>0</v>
      </c>
      <c r="F35" s="121">
        <v>21358</v>
      </c>
      <c r="G35" s="121">
        <v>21304.799999999999</v>
      </c>
    </row>
    <row r="36" spans="2:7" s="1" customFormat="1" ht="30" customHeight="1" x14ac:dyDescent="0.2">
      <c r="B36" s="122"/>
      <c r="C36" s="123" t="s">
        <v>332</v>
      </c>
      <c r="D36" s="124" t="s">
        <v>347</v>
      </c>
      <c r="E36" s="97">
        <v>330000</v>
      </c>
      <c r="F36" s="97">
        <v>132600</v>
      </c>
      <c r="G36" s="97">
        <v>76319.649999999994</v>
      </c>
    </row>
    <row r="38" spans="2:7" s="1" customFormat="1" ht="14.25" x14ac:dyDescent="0.2">
      <c r="B38" s="35"/>
      <c r="C38" s="125"/>
      <c r="D38" s="35"/>
      <c r="E38" s="35"/>
      <c r="F38" s="99"/>
      <c r="G38" s="35"/>
    </row>
    <row r="39" spans="2:7" s="1" customFormat="1" ht="14.25" x14ac:dyDescent="0.2">
      <c r="B39" s="35"/>
      <c r="C39" s="125"/>
      <c r="D39" s="35"/>
      <c r="E39" s="99"/>
      <c r="F39" s="35"/>
      <c r="G39" s="35"/>
    </row>
  </sheetData>
  <mergeCells count="11">
    <mergeCell ref="C12:D12"/>
    <mergeCell ref="B4:G4"/>
    <mergeCell ref="B6:D6"/>
    <mergeCell ref="B7:D7"/>
    <mergeCell ref="C8:D8"/>
    <mergeCell ref="C10:D10"/>
    <mergeCell ref="C15:D15"/>
    <mergeCell ref="C17:D17"/>
    <mergeCell ref="C21:D21"/>
    <mergeCell ref="C25:D25"/>
    <mergeCell ref="C32:D32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I71"/>
  <sheetViews>
    <sheetView workbookViewId="0"/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7" width="13.5703125" style="1" customWidth="1"/>
    <col min="8" max="8" width="15.4257812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9" x14ac:dyDescent="0.2">
      <c r="H1" s="35" t="s">
        <v>43</v>
      </c>
    </row>
    <row r="2" spans="2:9" ht="20.25" x14ac:dyDescent="0.3">
      <c r="B2" s="561" t="s">
        <v>44</v>
      </c>
      <c r="C2" s="561"/>
      <c r="D2" s="561"/>
      <c r="E2" s="561"/>
      <c r="F2" s="561"/>
      <c r="G2" s="561"/>
      <c r="H2" s="561"/>
    </row>
    <row r="3" spans="2:9" ht="36.75" customHeight="1" x14ac:dyDescent="0.2">
      <c r="B3" s="35"/>
      <c r="C3" s="35"/>
      <c r="D3" s="35"/>
      <c r="E3" s="35"/>
      <c r="F3" s="35"/>
      <c r="G3" s="35"/>
      <c r="H3" s="35"/>
    </row>
    <row r="4" spans="2:9" x14ac:dyDescent="0.2">
      <c r="B4" s="46" t="s">
        <v>515</v>
      </c>
      <c r="C4" s="46"/>
      <c r="D4" s="46"/>
      <c r="E4" s="47">
        <f>SUM(E5:E12)</f>
        <v>1058370.07</v>
      </c>
      <c r="F4" s="35"/>
      <c r="G4" s="35"/>
      <c r="H4" s="35"/>
    </row>
    <row r="5" spans="2:9" x14ac:dyDescent="0.2">
      <c r="B5" s="562" t="s">
        <v>45</v>
      </c>
      <c r="C5" s="562"/>
      <c r="D5" s="562"/>
      <c r="E5" s="26">
        <f>10166.22+48388.31+4040</f>
        <v>62594.53</v>
      </c>
      <c r="F5" s="35"/>
      <c r="G5" s="35"/>
      <c r="H5" s="35"/>
    </row>
    <row r="6" spans="2:9" ht="16.5" customHeight="1" x14ac:dyDescent="0.2">
      <c r="B6" s="562" t="s">
        <v>46</v>
      </c>
      <c r="C6" s="562"/>
      <c r="D6" s="562"/>
      <c r="E6" s="26">
        <v>25161.46</v>
      </c>
      <c r="F6" s="35"/>
      <c r="G6" s="35"/>
      <c r="H6" s="35"/>
    </row>
    <row r="7" spans="2:9" ht="15" customHeight="1" x14ac:dyDescent="0.2">
      <c r="B7" s="562" t="s">
        <v>47</v>
      </c>
      <c r="C7" s="562"/>
      <c r="D7" s="562"/>
      <c r="E7" s="26">
        <v>925201.57</v>
      </c>
      <c r="F7" s="35"/>
      <c r="G7" s="35"/>
      <c r="H7" s="35"/>
    </row>
    <row r="8" spans="2:9" ht="15" customHeight="1" x14ac:dyDescent="0.2">
      <c r="B8" s="562" t="s">
        <v>48</v>
      </c>
      <c r="C8" s="562"/>
      <c r="D8" s="562"/>
      <c r="E8" s="26">
        <v>10175.290000000001</v>
      </c>
      <c r="F8" s="35"/>
      <c r="G8" s="35"/>
      <c r="H8" s="35"/>
    </row>
    <row r="9" spans="2:9" x14ac:dyDescent="0.2">
      <c r="B9" s="560" t="s">
        <v>49</v>
      </c>
      <c r="C9" s="560"/>
      <c r="D9" s="560"/>
      <c r="E9" s="48">
        <v>30488.87</v>
      </c>
      <c r="F9" s="35"/>
      <c r="G9" s="35"/>
      <c r="H9" s="35"/>
    </row>
    <row r="10" spans="2:9" x14ac:dyDescent="0.2">
      <c r="B10" s="25" t="s">
        <v>50</v>
      </c>
      <c r="C10" s="25"/>
      <c r="D10" s="25"/>
      <c r="E10" s="48">
        <v>1510.75</v>
      </c>
      <c r="F10" s="35"/>
      <c r="G10" s="35"/>
      <c r="H10" s="35"/>
    </row>
    <row r="11" spans="2:9" x14ac:dyDescent="0.2">
      <c r="B11" s="25" t="s">
        <v>51</v>
      </c>
      <c r="C11" s="25"/>
      <c r="D11" s="25"/>
      <c r="E11" s="48">
        <v>1345.6</v>
      </c>
      <c r="F11" s="35"/>
      <c r="G11" s="35"/>
      <c r="H11" s="35"/>
    </row>
    <row r="12" spans="2:9" x14ac:dyDescent="0.2">
      <c r="B12" s="49" t="s">
        <v>555</v>
      </c>
      <c r="C12" s="49"/>
      <c r="D12" s="49"/>
      <c r="E12" s="50">
        <v>1892</v>
      </c>
      <c r="F12" s="35"/>
      <c r="G12" s="35"/>
      <c r="H12" s="35"/>
    </row>
    <row r="13" spans="2:9" ht="9.75" customHeight="1" x14ac:dyDescent="0.2">
      <c r="B13" s="51"/>
      <c r="C13" s="51"/>
      <c r="D13" s="51"/>
      <c r="E13" s="7"/>
      <c r="F13" s="35"/>
      <c r="G13" s="35"/>
      <c r="H13" s="35"/>
    </row>
    <row r="14" spans="2:9" ht="13.5" customHeight="1" x14ac:dyDescent="0.2">
      <c r="B14" s="35"/>
      <c r="C14" s="35"/>
      <c r="D14" s="35"/>
      <c r="E14" s="35"/>
      <c r="F14" s="35"/>
      <c r="G14" s="35"/>
      <c r="H14" s="35"/>
    </row>
    <row r="15" spans="2:9" s="2" customFormat="1" ht="63.75" x14ac:dyDescent="0.25">
      <c r="B15" s="52" t="s">
        <v>52</v>
      </c>
      <c r="C15" s="37" t="s">
        <v>516</v>
      </c>
      <c r="D15" s="37" t="s">
        <v>517</v>
      </c>
      <c r="E15" s="37" t="s">
        <v>518</v>
      </c>
      <c r="F15" s="37" t="s">
        <v>519</v>
      </c>
      <c r="G15" s="37" t="s">
        <v>520</v>
      </c>
      <c r="H15" s="53"/>
      <c r="I15" s="3"/>
    </row>
    <row r="16" spans="2:9" x14ac:dyDescent="0.2">
      <c r="B16" s="54" t="s">
        <v>53</v>
      </c>
      <c r="C16" s="55">
        <v>35019.050000000003</v>
      </c>
      <c r="D16" s="55">
        <v>24980.09</v>
      </c>
      <c r="E16" s="55">
        <v>0</v>
      </c>
      <c r="F16" s="55">
        <v>47134.36</v>
      </c>
      <c r="G16" s="55">
        <v>93048.39</v>
      </c>
      <c r="H16" s="56"/>
      <c r="I16" s="4"/>
    </row>
    <row r="17" spans="2:9" x14ac:dyDescent="0.2">
      <c r="B17" s="54" t="s">
        <v>54</v>
      </c>
      <c r="C17" s="55">
        <v>12067</v>
      </c>
      <c r="D17" s="55">
        <v>8801.3700000000008</v>
      </c>
      <c r="E17" s="55">
        <v>0</v>
      </c>
      <c r="F17" s="55">
        <v>19547.810000000001</v>
      </c>
      <c r="G17" s="55">
        <v>36588.75</v>
      </c>
      <c r="H17" s="56"/>
      <c r="I17" s="4"/>
    </row>
    <row r="18" spans="2:9" x14ac:dyDescent="0.2">
      <c r="B18" s="54" t="s">
        <v>55</v>
      </c>
      <c r="C18" s="55">
        <f>C19+C20+C21+C22+C23+C24</f>
        <v>17365.840000000004</v>
      </c>
      <c r="D18" s="55">
        <f>D19+D20+D21+D22+D23+D24</f>
        <v>41711.57</v>
      </c>
      <c r="E18" s="55">
        <f>E19+E20+E21+E22+E23+E24</f>
        <v>426.39</v>
      </c>
      <c r="F18" s="55">
        <f>F19+F20+F21+F22+F23+F24</f>
        <v>854770.42</v>
      </c>
      <c r="G18" s="55">
        <f>+G19+G20+G21+G22+G23+G24</f>
        <v>1250396.4099999999</v>
      </c>
      <c r="H18" s="56"/>
      <c r="I18" s="4"/>
    </row>
    <row r="19" spans="2:9" x14ac:dyDescent="0.2">
      <c r="B19" s="57" t="s">
        <v>56</v>
      </c>
      <c r="C19" s="26">
        <v>8908.3700000000008</v>
      </c>
      <c r="D19" s="26">
        <v>5718.58</v>
      </c>
      <c r="E19" s="26">
        <v>0</v>
      </c>
      <c r="F19" s="26">
        <v>765564.98</v>
      </c>
      <c r="G19" s="26">
        <v>963.7</v>
      </c>
      <c r="H19" s="58"/>
      <c r="I19" s="4"/>
    </row>
    <row r="20" spans="2:9" x14ac:dyDescent="0.2">
      <c r="B20" s="57" t="s">
        <v>57</v>
      </c>
      <c r="C20" s="26">
        <v>2844.94</v>
      </c>
      <c r="D20" s="26">
        <v>21621.85</v>
      </c>
      <c r="E20" s="26">
        <v>0</v>
      </c>
      <c r="F20" s="26">
        <v>39466.82</v>
      </c>
      <c r="G20" s="26">
        <v>22578.15</v>
      </c>
      <c r="H20" s="58"/>
      <c r="I20" s="4"/>
    </row>
    <row r="21" spans="2:9" x14ac:dyDescent="0.2">
      <c r="B21" s="57" t="s">
        <v>58</v>
      </c>
      <c r="C21" s="26">
        <v>0</v>
      </c>
      <c r="D21" s="26">
        <v>0</v>
      </c>
      <c r="E21" s="26">
        <v>164.79</v>
      </c>
      <c r="F21" s="26">
        <v>6861.15</v>
      </c>
      <c r="G21" s="26">
        <v>16107.06</v>
      </c>
      <c r="H21" s="58"/>
      <c r="I21" s="4"/>
    </row>
    <row r="22" spans="2:9" ht="15" customHeight="1" x14ac:dyDescent="0.2">
      <c r="B22" s="57" t="s">
        <v>59</v>
      </c>
      <c r="C22" s="26">
        <v>3996.38</v>
      </c>
      <c r="D22" s="26">
        <v>35</v>
      </c>
      <c r="E22" s="26">
        <v>261.60000000000002</v>
      </c>
      <c r="F22" s="26">
        <v>19111.18</v>
      </c>
      <c r="G22" s="26">
        <v>1192966.57</v>
      </c>
      <c r="H22" s="58"/>
      <c r="I22" s="4"/>
    </row>
    <row r="23" spans="2:9" x14ac:dyDescent="0.2">
      <c r="B23" s="57" t="s">
        <v>60</v>
      </c>
      <c r="C23" s="26">
        <v>0</v>
      </c>
      <c r="D23" s="26">
        <v>4023.24</v>
      </c>
      <c r="E23" s="26">
        <v>0</v>
      </c>
      <c r="F23" s="26">
        <v>0</v>
      </c>
      <c r="G23" s="26">
        <v>2094</v>
      </c>
      <c r="H23" s="58"/>
      <c r="I23" s="4"/>
    </row>
    <row r="24" spans="2:9" x14ac:dyDescent="0.2">
      <c r="B24" s="57" t="s">
        <v>61</v>
      </c>
      <c r="C24" s="26">
        <v>1616.15</v>
      </c>
      <c r="D24" s="26">
        <v>10312.9</v>
      </c>
      <c r="E24" s="26">
        <v>0</v>
      </c>
      <c r="F24" s="26">
        <v>23766.29</v>
      </c>
      <c r="G24" s="26">
        <v>15686.93</v>
      </c>
      <c r="H24" s="58"/>
      <c r="I24" s="4"/>
    </row>
    <row r="25" spans="2:9" x14ac:dyDescent="0.2">
      <c r="B25" s="54" t="s">
        <v>62</v>
      </c>
      <c r="C25" s="55">
        <v>2196.2600000000002</v>
      </c>
      <c r="D25" s="55">
        <v>1456.54</v>
      </c>
      <c r="E25" s="55">
        <v>0</v>
      </c>
      <c r="F25" s="55">
        <v>2281.65</v>
      </c>
      <c r="G25" s="55">
        <v>4265.12</v>
      </c>
      <c r="H25" s="56"/>
      <c r="I25" s="4"/>
    </row>
    <row r="26" spans="2:9" s="5" customFormat="1" ht="3.75" customHeight="1" x14ac:dyDescent="0.2">
      <c r="B26" s="59"/>
      <c r="C26" s="60"/>
      <c r="D26" s="60"/>
      <c r="E26" s="60"/>
      <c r="F26" s="60"/>
      <c r="G26" s="61"/>
      <c r="H26" s="62"/>
      <c r="I26" s="6"/>
    </row>
    <row r="27" spans="2:9" ht="20.25" customHeight="1" x14ac:dyDescent="0.2">
      <c r="B27" s="63" t="s">
        <v>63</v>
      </c>
      <c r="C27" s="32">
        <f>C16+C17+C18+C25</f>
        <v>66648.150000000009</v>
      </c>
      <c r="D27" s="32">
        <f>D16+D17+D18+D25</f>
        <v>76949.569999999992</v>
      </c>
      <c r="E27" s="32">
        <f>E16+E17+E18+E25</f>
        <v>426.39</v>
      </c>
      <c r="F27" s="32">
        <f>F16+F17+F18+F25</f>
        <v>923734.24000000011</v>
      </c>
      <c r="G27" s="32">
        <f>G16+G17+G18+G25</f>
        <v>1384298.67</v>
      </c>
      <c r="H27" s="64"/>
      <c r="I27" s="7"/>
    </row>
    <row r="28" spans="2:9" s="8" customFormat="1" ht="25.5" x14ac:dyDescent="0.25">
      <c r="B28" s="63" t="s">
        <v>64</v>
      </c>
      <c r="C28" s="65">
        <v>0</v>
      </c>
      <c r="D28" s="65">
        <v>0</v>
      </c>
      <c r="E28" s="65">
        <v>0</v>
      </c>
      <c r="F28" s="65"/>
      <c r="G28" s="65">
        <v>30756</v>
      </c>
      <c r="H28" s="66"/>
    </row>
    <row r="29" spans="2:9" x14ac:dyDescent="0.2">
      <c r="B29" s="35"/>
      <c r="C29" s="35"/>
      <c r="D29" s="35"/>
      <c r="E29" s="35"/>
      <c r="F29" s="35"/>
      <c r="G29" s="35"/>
      <c r="H29" s="35"/>
    </row>
    <row r="30" spans="2:9" s="2" customFormat="1" ht="63.75" x14ac:dyDescent="0.25">
      <c r="B30" s="52" t="s">
        <v>52</v>
      </c>
      <c r="C30" s="37" t="s">
        <v>522</v>
      </c>
      <c r="D30" s="37" t="s">
        <v>521</v>
      </c>
      <c r="E30" s="37" t="s">
        <v>523</v>
      </c>
      <c r="F30" s="37" t="s">
        <v>524</v>
      </c>
      <c r="G30" s="37" t="s">
        <v>525</v>
      </c>
      <c r="H30" s="53"/>
      <c r="I30" s="9"/>
    </row>
    <row r="31" spans="2:9" x14ac:dyDescent="0.2">
      <c r="B31" s="54" t="s">
        <v>53</v>
      </c>
      <c r="C31" s="55">
        <v>89314.65</v>
      </c>
      <c r="D31" s="55">
        <f>198479.15+0</f>
        <v>198479.15</v>
      </c>
      <c r="E31" s="55">
        <v>0</v>
      </c>
      <c r="F31" s="55">
        <v>40913.760000000002</v>
      </c>
      <c r="G31" s="55">
        <v>0</v>
      </c>
      <c r="H31" s="56"/>
      <c r="I31" s="10"/>
    </row>
    <row r="32" spans="2:9" x14ac:dyDescent="0.2">
      <c r="B32" s="54" t="s">
        <v>54</v>
      </c>
      <c r="C32" s="55">
        <v>32095.49</v>
      </c>
      <c r="D32" s="55">
        <f>70410.37+18565.94</f>
        <v>88976.31</v>
      </c>
      <c r="E32" s="55">
        <v>0</v>
      </c>
      <c r="F32" s="55">
        <v>14721.57</v>
      </c>
      <c r="G32" s="55">
        <v>0</v>
      </c>
      <c r="H32" s="56"/>
      <c r="I32" s="10"/>
    </row>
    <row r="33" spans="2:9" x14ac:dyDescent="0.2">
      <c r="B33" s="54" t="s">
        <v>55</v>
      </c>
      <c r="C33" s="55">
        <f>C34+C35+C36+C37+C38+C39</f>
        <v>533960.62</v>
      </c>
      <c r="D33" s="55">
        <f>D34+D35+D36+D37+D38+D39</f>
        <v>586797.88</v>
      </c>
      <c r="E33" s="55">
        <f>E34+E35+E36+E37+E38+E39</f>
        <v>12</v>
      </c>
      <c r="F33" s="55">
        <f>F34+F35+F36+F37+F38+F39</f>
        <v>68969.75</v>
      </c>
      <c r="G33" s="55">
        <f>G34+G35+G36+G37+G38+G39</f>
        <v>9471</v>
      </c>
      <c r="H33" s="56"/>
      <c r="I33" s="10"/>
    </row>
    <row r="34" spans="2:9" x14ac:dyDescent="0.2">
      <c r="B34" s="57" t="s">
        <v>56</v>
      </c>
      <c r="C34" s="26">
        <v>409391.41</v>
      </c>
      <c r="D34" s="26">
        <f>269107.06+131489.22</f>
        <v>400596.28</v>
      </c>
      <c r="E34" s="26">
        <v>0</v>
      </c>
      <c r="F34" s="26">
        <v>2207.0500000000002</v>
      </c>
      <c r="G34" s="26">
        <v>0</v>
      </c>
      <c r="H34" s="58"/>
      <c r="I34" s="11"/>
    </row>
    <row r="35" spans="2:9" x14ac:dyDescent="0.2">
      <c r="B35" s="57" t="s">
        <v>57</v>
      </c>
      <c r="C35" s="26">
        <v>16769.27</v>
      </c>
      <c r="D35" s="26">
        <f>21812.23+28713.59</f>
        <v>50525.82</v>
      </c>
      <c r="E35" s="26">
        <v>0</v>
      </c>
      <c r="F35" s="26">
        <v>30512.95</v>
      </c>
      <c r="G35" s="26">
        <v>0</v>
      </c>
      <c r="H35" s="58"/>
      <c r="I35" s="11"/>
    </row>
    <row r="36" spans="2:9" x14ac:dyDescent="0.2">
      <c r="B36" s="57" t="s">
        <v>58</v>
      </c>
      <c r="C36" s="26">
        <v>0</v>
      </c>
      <c r="D36" s="26">
        <f>0+0</f>
        <v>0</v>
      </c>
      <c r="E36" s="26">
        <v>0</v>
      </c>
      <c r="F36" s="26">
        <v>2191.65</v>
      </c>
      <c r="G36" s="26">
        <v>0</v>
      </c>
      <c r="H36" s="58"/>
      <c r="I36" s="11"/>
    </row>
    <row r="37" spans="2:9" ht="11.25" customHeight="1" x14ac:dyDescent="0.2">
      <c r="B37" s="57" t="s">
        <v>59</v>
      </c>
      <c r="C37" s="26">
        <v>54225.34</v>
      </c>
      <c r="D37" s="26">
        <f>14277.4+28206.58</f>
        <v>42483.98</v>
      </c>
      <c r="E37" s="26">
        <v>0</v>
      </c>
      <c r="F37" s="26">
        <v>26309.03</v>
      </c>
      <c r="G37" s="26">
        <v>9471</v>
      </c>
      <c r="H37" s="58"/>
      <c r="I37" s="11"/>
    </row>
    <row r="38" spans="2:9" x14ac:dyDescent="0.2">
      <c r="B38" s="57" t="s">
        <v>60</v>
      </c>
      <c r="C38" s="26">
        <v>0</v>
      </c>
      <c r="D38" s="26">
        <v>0</v>
      </c>
      <c r="E38" s="26">
        <v>0</v>
      </c>
      <c r="F38" s="26">
        <v>816</v>
      </c>
      <c r="G38" s="26">
        <v>0</v>
      </c>
      <c r="H38" s="58"/>
      <c r="I38" s="11"/>
    </row>
    <row r="39" spans="2:9" x14ac:dyDescent="0.2">
      <c r="B39" s="57" t="s">
        <v>61</v>
      </c>
      <c r="C39" s="26">
        <v>53574.6</v>
      </c>
      <c r="D39" s="26">
        <f>19043.66+74148.14</f>
        <v>93191.8</v>
      </c>
      <c r="E39" s="26">
        <v>12</v>
      </c>
      <c r="F39" s="26">
        <v>6933.07</v>
      </c>
      <c r="G39" s="26">
        <v>0</v>
      </c>
      <c r="H39" s="58"/>
      <c r="I39" s="11"/>
    </row>
    <row r="40" spans="2:9" x14ac:dyDescent="0.2">
      <c r="B40" s="54" t="s">
        <v>62</v>
      </c>
      <c r="C40" s="55">
        <v>4461.29</v>
      </c>
      <c r="D40" s="55">
        <f>9831.18+0</f>
        <v>9831.18</v>
      </c>
      <c r="E40" s="55">
        <v>0</v>
      </c>
      <c r="F40" s="55">
        <v>2030.92</v>
      </c>
      <c r="G40" s="55">
        <v>0</v>
      </c>
      <c r="H40" s="56"/>
      <c r="I40" s="11"/>
    </row>
    <row r="41" spans="2:9" s="12" customFormat="1" ht="6.75" customHeight="1" x14ac:dyDescent="0.2">
      <c r="B41" s="67"/>
      <c r="C41" s="61"/>
      <c r="D41" s="61"/>
      <c r="E41" s="61"/>
      <c r="F41" s="61"/>
      <c r="G41" s="61"/>
      <c r="H41" s="62"/>
      <c r="I41" s="11"/>
    </row>
    <row r="42" spans="2:9" ht="18.75" customHeight="1" x14ac:dyDescent="0.25">
      <c r="B42" s="63" t="s">
        <v>63</v>
      </c>
      <c r="C42" s="32">
        <f>C31+C32+C33+C40</f>
        <v>659832.05000000005</v>
      </c>
      <c r="D42" s="32">
        <f>D31+D32+D33+D40</f>
        <v>884084.52</v>
      </c>
      <c r="E42" s="32">
        <f>E31+E32+E33+E40</f>
        <v>12</v>
      </c>
      <c r="F42" s="32">
        <f>F31+F32+F33+F40</f>
        <v>126636</v>
      </c>
      <c r="G42" s="32">
        <f>G31+G32+G33+G40</f>
        <v>9471</v>
      </c>
      <c r="H42" s="64"/>
      <c r="I42" s="13"/>
    </row>
    <row r="43" spans="2:9" ht="25.5" x14ac:dyDescent="0.2">
      <c r="B43" s="63" t="s">
        <v>64</v>
      </c>
      <c r="C43" s="65">
        <v>0</v>
      </c>
      <c r="D43" s="65"/>
      <c r="E43" s="65">
        <v>0</v>
      </c>
      <c r="F43" s="65">
        <v>8498.43</v>
      </c>
      <c r="G43" s="65">
        <v>0</v>
      </c>
      <c r="H43" s="35"/>
    </row>
    <row r="44" spans="2:9" x14ac:dyDescent="0.2">
      <c r="B44" s="35"/>
      <c r="C44" s="35"/>
      <c r="D44" s="35"/>
      <c r="E44" s="35"/>
      <c r="F44" s="35"/>
      <c r="G44" s="35"/>
      <c r="H44" s="35"/>
    </row>
    <row r="45" spans="2:9" x14ac:dyDescent="0.2">
      <c r="B45" s="35"/>
      <c r="C45" s="35"/>
      <c r="D45" s="35"/>
      <c r="E45" s="35"/>
      <c r="F45" s="35"/>
      <c r="G45" s="35"/>
      <c r="H45" s="35"/>
    </row>
    <row r="46" spans="2:9" x14ac:dyDescent="0.2">
      <c r="B46" s="35"/>
      <c r="C46" s="35"/>
      <c r="D46" s="35"/>
      <c r="E46" s="35"/>
      <c r="F46" s="35"/>
      <c r="G46" s="35"/>
      <c r="H46" s="35"/>
    </row>
    <row r="47" spans="2:9" x14ac:dyDescent="0.2">
      <c r="B47" s="35"/>
      <c r="C47" s="35"/>
      <c r="D47" s="35"/>
      <c r="E47" s="35"/>
      <c r="F47" s="35"/>
      <c r="G47" s="35"/>
      <c r="H47" s="35"/>
    </row>
    <row r="48" spans="2:9" x14ac:dyDescent="0.2">
      <c r="B48" s="35"/>
      <c r="C48" s="35"/>
      <c r="D48" s="35"/>
      <c r="E48" s="35"/>
      <c r="F48" s="35"/>
      <c r="G48" s="35"/>
      <c r="H48" s="35"/>
    </row>
    <row r="49" spans="2:9" x14ac:dyDescent="0.2">
      <c r="B49" s="35"/>
      <c r="C49" s="35"/>
      <c r="D49" s="35"/>
      <c r="E49" s="35"/>
      <c r="F49" s="35"/>
      <c r="G49" s="35"/>
      <c r="H49" s="35"/>
    </row>
    <row r="50" spans="2:9" x14ac:dyDescent="0.2">
      <c r="B50" s="35"/>
      <c r="C50" s="35"/>
      <c r="D50" s="35"/>
      <c r="E50" s="35"/>
      <c r="F50" s="35"/>
      <c r="G50" s="35"/>
      <c r="H50" s="35"/>
    </row>
    <row r="51" spans="2:9" x14ac:dyDescent="0.2">
      <c r="B51" s="35"/>
      <c r="C51" s="35"/>
      <c r="D51" s="35"/>
      <c r="E51" s="35"/>
      <c r="F51" s="35"/>
      <c r="G51" s="35"/>
      <c r="H51" s="35"/>
    </row>
    <row r="52" spans="2:9" x14ac:dyDescent="0.2">
      <c r="B52" s="35"/>
      <c r="C52" s="35"/>
      <c r="D52" s="35"/>
      <c r="E52" s="35"/>
      <c r="F52" s="35"/>
      <c r="G52" s="35"/>
      <c r="H52" s="35"/>
    </row>
    <row r="53" spans="2:9" x14ac:dyDescent="0.2">
      <c r="B53" s="35"/>
      <c r="C53" s="35"/>
      <c r="D53" s="35"/>
      <c r="E53" s="35"/>
      <c r="F53" s="35"/>
      <c r="G53" s="35"/>
      <c r="H53" s="35"/>
    </row>
    <row r="54" spans="2:9" x14ac:dyDescent="0.2">
      <c r="B54" s="35"/>
      <c r="C54" s="35"/>
      <c r="D54" s="35"/>
      <c r="E54" s="35"/>
      <c r="F54" s="35"/>
      <c r="G54" s="35"/>
      <c r="H54" s="35"/>
    </row>
    <row r="55" spans="2:9" x14ac:dyDescent="0.2">
      <c r="B55" s="35"/>
      <c r="C55" s="35"/>
      <c r="D55" s="35"/>
      <c r="E55" s="35"/>
      <c r="F55" s="35"/>
      <c r="G55" s="35"/>
      <c r="H55" s="35"/>
    </row>
    <row r="56" spans="2:9" x14ac:dyDescent="0.2">
      <c r="B56" s="35"/>
      <c r="C56" s="35"/>
      <c r="D56" s="35"/>
      <c r="E56" s="35"/>
      <c r="F56" s="35"/>
      <c r="G56" s="35"/>
      <c r="H56" s="35"/>
    </row>
    <row r="57" spans="2:9" s="2" customFormat="1" ht="63.75" x14ac:dyDescent="0.25">
      <c r="B57" s="52" t="s">
        <v>52</v>
      </c>
      <c r="C57" s="37" t="s">
        <v>526</v>
      </c>
      <c r="D57" s="37" t="s">
        <v>527</v>
      </c>
      <c r="E57" s="37" t="s">
        <v>528</v>
      </c>
      <c r="F57" s="37" t="s">
        <v>529</v>
      </c>
      <c r="G57" s="68" t="s">
        <v>67</v>
      </c>
      <c r="H57" s="69"/>
    </row>
    <row r="58" spans="2:9" x14ac:dyDescent="0.2">
      <c r="B58" s="54" t="s">
        <v>53</v>
      </c>
      <c r="C58" s="55">
        <v>184666.9</v>
      </c>
      <c r="D58" s="55">
        <f>70410.83+29815.43</f>
        <v>100226.26000000001</v>
      </c>
      <c r="E58" s="55">
        <v>0</v>
      </c>
      <c r="F58" s="55">
        <v>246018.48</v>
      </c>
      <c r="G58" s="70">
        <f>F58+E58+D58+C58+C31+D31+E31+F31+C16+D16+E16+F16+G16</f>
        <v>1059801.0900000001</v>
      </c>
      <c r="H58" s="35"/>
      <c r="I58" s="4"/>
    </row>
    <row r="59" spans="2:9" x14ac:dyDescent="0.2">
      <c r="B59" s="54" t="s">
        <v>65</v>
      </c>
      <c r="C59" s="55">
        <v>66443.210000000006</v>
      </c>
      <c r="D59" s="55">
        <f>25037.19+10611.25</f>
        <v>35648.44</v>
      </c>
      <c r="E59" s="55">
        <v>0</v>
      </c>
      <c r="F59" s="55">
        <v>87708.49</v>
      </c>
      <c r="G59" s="70">
        <f>F59+E59+D59+C59+C32+D32+E32+F32+C17+D17+E17+F17+G17</f>
        <v>402598.44</v>
      </c>
      <c r="H59" s="35"/>
    </row>
    <row r="60" spans="2:9" x14ac:dyDescent="0.2">
      <c r="B60" s="54" t="s">
        <v>55</v>
      </c>
      <c r="C60" s="55">
        <f>C61+C62+C63+C64+C65+C66+C67</f>
        <v>536968.95000000007</v>
      </c>
      <c r="D60" s="55">
        <f>D62+D63+D64+D65+D66+D67+D61</f>
        <v>121900.4</v>
      </c>
      <c r="E60" s="55">
        <f>E62+E63+E64+E65+E66+E67+E61</f>
        <v>25396.69</v>
      </c>
      <c r="F60" s="55">
        <f>F62+F63+F64+F65+F66+F67+F61</f>
        <v>84957.31</v>
      </c>
      <c r="G60" s="70">
        <f>G62+G63+G64+G65+G66+G67+G61</f>
        <v>4163618.1800000006</v>
      </c>
      <c r="H60" s="35"/>
    </row>
    <row r="61" spans="2:9" x14ac:dyDescent="0.2">
      <c r="B61" s="57" t="s">
        <v>66</v>
      </c>
      <c r="C61" s="26">
        <v>0</v>
      </c>
      <c r="D61" s="26">
        <v>0</v>
      </c>
      <c r="E61" s="26">
        <v>0</v>
      </c>
      <c r="F61" s="26">
        <v>125.1</v>
      </c>
      <c r="G61" s="71">
        <f>F61+J35+I35+H35+G35+F35+E61</f>
        <v>30638.05</v>
      </c>
      <c r="H61" s="35"/>
    </row>
    <row r="62" spans="2:9" x14ac:dyDescent="0.2">
      <c r="B62" s="57" t="s">
        <v>56</v>
      </c>
      <c r="C62" s="26">
        <v>0</v>
      </c>
      <c r="D62" s="26">
        <f>847.94+1946.48</f>
        <v>2794.42</v>
      </c>
      <c r="E62" s="26">
        <v>15535.98</v>
      </c>
      <c r="F62" s="26">
        <v>7574.36</v>
      </c>
      <c r="G62" s="71">
        <f t="shared" ref="G62:G67" si="0">F62+E62+D62+C62+G34+F34+E34+D34+C34+G19+F19+D19+E19+C19</f>
        <v>1619255.1300000001</v>
      </c>
      <c r="H62" s="35"/>
    </row>
    <row r="63" spans="2:9" x14ac:dyDescent="0.2">
      <c r="B63" s="57" t="s">
        <v>57</v>
      </c>
      <c r="C63" s="26">
        <v>88652.74</v>
      </c>
      <c r="D63" s="26">
        <f>13427.58+4721.02</f>
        <v>18148.599999999999</v>
      </c>
      <c r="E63" s="26">
        <v>305.35000000000002</v>
      </c>
      <c r="F63" s="26">
        <v>14405.37</v>
      </c>
      <c r="G63" s="71">
        <f t="shared" si="0"/>
        <v>305831.86</v>
      </c>
      <c r="H63" s="35"/>
    </row>
    <row r="64" spans="2:9" x14ac:dyDescent="0.2">
      <c r="B64" s="57" t="s">
        <v>58</v>
      </c>
      <c r="C64" s="26">
        <v>36235.18</v>
      </c>
      <c r="D64" s="26">
        <f>3743.04+1969.89</f>
        <v>5712.93</v>
      </c>
      <c r="E64" s="26">
        <v>0</v>
      </c>
      <c r="F64" s="26">
        <v>17611.36</v>
      </c>
      <c r="G64" s="71">
        <f t="shared" si="0"/>
        <v>84884.12</v>
      </c>
      <c r="H64" s="35"/>
    </row>
    <row r="65" spans="2:8" ht="15.75" customHeight="1" x14ac:dyDescent="0.2">
      <c r="B65" s="57" t="s">
        <v>59</v>
      </c>
      <c r="C65" s="26">
        <v>391481.76</v>
      </c>
      <c r="D65" s="26">
        <f>14635.01+5095.08</f>
        <v>19730.09</v>
      </c>
      <c r="E65" s="26">
        <v>9104.66</v>
      </c>
      <c r="F65" s="26">
        <v>2833.32</v>
      </c>
      <c r="G65" s="71">
        <f t="shared" si="0"/>
        <v>1772009.91</v>
      </c>
      <c r="H65" s="35"/>
    </row>
    <row r="66" spans="2:8" x14ac:dyDescent="0.2">
      <c r="B66" s="57" t="s">
        <v>60</v>
      </c>
      <c r="C66" s="26">
        <v>0</v>
      </c>
      <c r="D66" s="26">
        <f>2391+0</f>
        <v>2391</v>
      </c>
      <c r="E66" s="26">
        <v>0</v>
      </c>
      <c r="F66" s="26">
        <v>0</v>
      </c>
      <c r="G66" s="71">
        <f t="shared" si="0"/>
        <v>9324.24</v>
      </c>
      <c r="H66" s="35"/>
    </row>
    <row r="67" spans="2:8" x14ac:dyDescent="0.2">
      <c r="B67" s="57" t="s">
        <v>61</v>
      </c>
      <c r="C67" s="26">
        <v>20599.27</v>
      </c>
      <c r="D67" s="26">
        <f>13790.36+59333</f>
        <v>73123.360000000001</v>
      </c>
      <c r="E67" s="26">
        <v>450.7</v>
      </c>
      <c r="F67" s="26">
        <v>42407.8</v>
      </c>
      <c r="G67" s="71">
        <f t="shared" si="0"/>
        <v>341674.87</v>
      </c>
      <c r="H67" s="35"/>
    </row>
    <row r="68" spans="2:8" x14ac:dyDescent="0.2">
      <c r="B68" s="54" t="s">
        <v>62</v>
      </c>
      <c r="C68" s="55">
        <v>10037.719999999999</v>
      </c>
      <c r="D68" s="55">
        <f>3087.75+1572.19</f>
        <v>4659.9400000000005</v>
      </c>
      <c r="E68" s="55">
        <v>0</v>
      </c>
      <c r="F68" s="55">
        <v>9955.91</v>
      </c>
      <c r="G68" s="70">
        <f>F68+E68+D68+C68+G40+F40+E40+D40+C40+G25+F25+E25+D25+C25</f>
        <v>51176.530000000006</v>
      </c>
      <c r="H68" s="35"/>
    </row>
    <row r="69" spans="2:8" s="12" customFormat="1" ht="6.75" customHeight="1" x14ac:dyDescent="0.2">
      <c r="B69" s="67"/>
      <c r="C69" s="72"/>
      <c r="D69" s="72"/>
      <c r="E69" s="72"/>
      <c r="F69" s="72"/>
      <c r="G69" s="73"/>
      <c r="H69" s="74"/>
    </row>
    <row r="70" spans="2:8" x14ac:dyDescent="0.2">
      <c r="B70" s="63" t="s">
        <v>63</v>
      </c>
      <c r="C70" s="32">
        <f>C58+C59+C60+C68</f>
        <v>798116.78</v>
      </c>
      <c r="D70" s="32">
        <f>D58+D59+D60+D68</f>
        <v>262435.03999999998</v>
      </c>
      <c r="E70" s="32">
        <f>E58+E59+E60+E68</f>
        <v>25396.69</v>
      </c>
      <c r="F70" s="32">
        <f>F58+F59+F60+F68</f>
        <v>428640.19</v>
      </c>
      <c r="G70" s="75">
        <f>F70+E70+D70+C70+G42+F42+E42+D42+C42+G27+F27+E27+D27+C27</f>
        <v>5646681.29</v>
      </c>
      <c r="H70" s="35"/>
    </row>
    <row r="71" spans="2:8" s="8" customFormat="1" ht="25.5" x14ac:dyDescent="0.25">
      <c r="B71" s="63" t="s">
        <v>64</v>
      </c>
      <c r="C71" s="65">
        <v>138751</v>
      </c>
      <c r="D71" s="65">
        <v>0</v>
      </c>
      <c r="E71" s="65">
        <v>2587</v>
      </c>
      <c r="F71" s="65"/>
      <c r="G71" s="75">
        <f>F71+E71+D71+C71+G28+F28+E28+D28+C28+C43+D43+E43+F43+G43</f>
        <v>180592.43</v>
      </c>
      <c r="H71" s="76"/>
    </row>
  </sheetData>
  <mergeCells count="6">
    <mergeCell ref="B9:D9"/>
    <mergeCell ref="B2:H2"/>
    <mergeCell ref="B5:D5"/>
    <mergeCell ref="B6:D6"/>
    <mergeCell ref="B7:D7"/>
    <mergeCell ref="B8:D8"/>
  </mergeCells>
  <pageMargins left="0.86614173228346458" right="0.19685039370078741" top="0.55118110236220474" bottom="0.31496062992125984" header="0.51181102362204722" footer="0.27559055118110237"/>
  <pageSetup paperSize="9" scale="8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I49"/>
  <sheetViews>
    <sheetView workbookViewId="0"/>
  </sheetViews>
  <sheetFormatPr defaultRowHeight="12.75" x14ac:dyDescent="0.2"/>
  <cols>
    <col min="1" max="1" width="16.85546875" style="35" customWidth="1"/>
    <col min="2" max="2" width="6.42578125" style="35" customWidth="1"/>
    <col min="3" max="3" width="33.7109375" style="35" customWidth="1"/>
    <col min="4" max="4" width="16.140625" style="35" customWidth="1"/>
    <col min="5" max="5" width="14.140625" style="35" customWidth="1"/>
    <col min="6" max="6" width="13.5703125" style="35" customWidth="1"/>
    <col min="7" max="7" width="9.140625" style="35" customWidth="1"/>
    <col min="8" max="8" width="9.140625" style="35"/>
    <col min="9" max="9" width="10.140625" style="35" bestFit="1" customWidth="1"/>
    <col min="10" max="16384" width="9.140625" style="35"/>
  </cols>
  <sheetData>
    <row r="2" spans="2:9" x14ac:dyDescent="0.2">
      <c r="D2" s="99"/>
      <c r="E2" s="99"/>
      <c r="F2" s="99"/>
    </row>
    <row r="3" spans="2:9" x14ac:dyDescent="0.2">
      <c r="F3" s="126" t="s">
        <v>348</v>
      </c>
    </row>
    <row r="4" spans="2:9" ht="42" customHeight="1" x14ac:dyDescent="0.2">
      <c r="B4" s="692" t="s">
        <v>629</v>
      </c>
      <c r="C4" s="692"/>
      <c r="D4" s="692"/>
      <c r="E4" s="692"/>
      <c r="F4" s="692"/>
      <c r="G4" s="14"/>
    </row>
    <row r="5" spans="2:9" s="1" customFormat="1" ht="14.25" x14ac:dyDescent="0.2">
      <c r="B5" s="35"/>
      <c r="C5" s="35"/>
      <c r="D5" s="35"/>
      <c r="E5" s="35"/>
      <c r="F5" s="35"/>
      <c r="G5" s="35"/>
    </row>
    <row r="6" spans="2:9" s="1" customFormat="1" ht="30" customHeight="1" x14ac:dyDescent="0.2">
      <c r="B6" s="693"/>
      <c r="C6" s="693"/>
      <c r="D6" s="127" t="s">
        <v>253</v>
      </c>
      <c r="E6" s="127" t="s">
        <v>254</v>
      </c>
      <c r="F6" s="127" t="s">
        <v>255</v>
      </c>
      <c r="G6" s="35"/>
    </row>
    <row r="7" spans="2:9" s="76" customFormat="1" ht="20.25" customHeight="1" x14ac:dyDescent="0.25">
      <c r="B7" s="128"/>
      <c r="C7" s="129" t="s">
        <v>256</v>
      </c>
      <c r="D7" s="130">
        <f>D8+D9+D10+D18+D19</f>
        <v>65205983</v>
      </c>
      <c r="E7" s="130">
        <f>E8+E9+E10+E18+E19</f>
        <v>69559488</v>
      </c>
      <c r="F7" s="130">
        <f>F8+F9+F10+F18+F19</f>
        <v>61816748.560000002</v>
      </c>
      <c r="I7" s="80"/>
    </row>
    <row r="8" spans="2:9" s="1" customFormat="1" ht="25.5" x14ac:dyDescent="0.2">
      <c r="B8" s="131">
        <v>610</v>
      </c>
      <c r="C8" s="108" t="s">
        <v>349</v>
      </c>
      <c r="D8" s="114">
        <v>23286018</v>
      </c>
      <c r="E8" s="114">
        <v>23711695</v>
      </c>
      <c r="F8" s="114">
        <v>22990197.710000001</v>
      </c>
      <c r="G8" s="35"/>
    </row>
    <row r="9" spans="2:9" s="1" customFormat="1" ht="14.25" x14ac:dyDescent="0.2">
      <c r="B9" s="131">
        <v>620</v>
      </c>
      <c r="C9" s="108" t="s">
        <v>350</v>
      </c>
      <c r="D9" s="114">
        <v>8712445</v>
      </c>
      <c r="E9" s="114">
        <v>8873788</v>
      </c>
      <c r="F9" s="114">
        <v>8479570.2599999998</v>
      </c>
      <c r="G9" s="35"/>
    </row>
    <row r="10" spans="2:9" s="1" customFormat="1" ht="14.25" x14ac:dyDescent="0.2">
      <c r="B10" s="131">
        <v>630</v>
      </c>
      <c r="C10" s="108" t="s">
        <v>351</v>
      </c>
      <c r="D10" s="132">
        <f>D11+D12+D13+D14+D15+D16+D17</f>
        <v>25126866</v>
      </c>
      <c r="E10" s="132">
        <f>E11+E12+E13+E14+E15+E16+E17</f>
        <v>26358837</v>
      </c>
      <c r="F10" s="132">
        <f>F11+F12+F13+F14+F15+F16+F17</f>
        <v>19884066.399999999</v>
      </c>
      <c r="G10" s="35"/>
    </row>
    <row r="11" spans="2:9" s="1" customFormat="1" ht="14.25" x14ac:dyDescent="0.2">
      <c r="B11" s="133">
        <v>631</v>
      </c>
      <c r="C11" s="118" t="s">
        <v>352</v>
      </c>
      <c r="D11" s="93">
        <v>19082</v>
      </c>
      <c r="E11" s="93">
        <v>41013</v>
      </c>
      <c r="F11" s="93">
        <v>30259</v>
      </c>
      <c r="G11" s="35"/>
    </row>
    <row r="12" spans="2:9" s="1" customFormat="1" ht="14.25" x14ac:dyDescent="0.2">
      <c r="B12" s="133">
        <v>632</v>
      </c>
      <c r="C12" s="118" t="s">
        <v>353</v>
      </c>
      <c r="D12" s="93">
        <v>8792587</v>
      </c>
      <c r="E12" s="93">
        <v>8752248.4800000004</v>
      </c>
      <c r="F12" s="93">
        <v>4971594</v>
      </c>
      <c r="G12" s="35"/>
    </row>
    <row r="13" spans="2:9" s="1" customFormat="1" ht="14.25" x14ac:dyDescent="0.2">
      <c r="B13" s="133">
        <v>633</v>
      </c>
      <c r="C13" s="118" t="s">
        <v>354</v>
      </c>
      <c r="D13" s="93">
        <v>3717762</v>
      </c>
      <c r="E13" s="93">
        <v>4610252.58</v>
      </c>
      <c r="F13" s="93">
        <v>3863953.21</v>
      </c>
      <c r="G13" s="35"/>
    </row>
    <row r="14" spans="2:9" s="1" customFormat="1" ht="14.25" x14ac:dyDescent="0.2">
      <c r="B14" s="133">
        <v>634</v>
      </c>
      <c r="C14" s="118" t="s">
        <v>355</v>
      </c>
      <c r="D14" s="93">
        <v>245024</v>
      </c>
      <c r="E14" s="93">
        <v>232871</v>
      </c>
      <c r="F14" s="93">
        <v>184235</v>
      </c>
      <c r="G14" s="35"/>
    </row>
    <row r="15" spans="2:9" s="1" customFormat="1" ht="14.25" x14ac:dyDescent="0.2">
      <c r="B15" s="133">
        <v>635</v>
      </c>
      <c r="C15" s="118" t="s">
        <v>356</v>
      </c>
      <c r="D15" s="93">
        <v>3083805</v>
      </c>
      <c r="E15" s="93">
        <v>3184947.89</v>
      </c>
      <c r="F15" s="93">
        <v>2886879</v>
      </c>
      <c r="G15" s="35"/>
    </row>
    <row r="16" spans="2:9" s="1" customFormat="1" ht="14.25" x14ac:dyDescent="0.2">
      <c r="B16" s="133">
        <v>636</v>
      </c>
      <c r="C16" s="118" t="s">
        <v>357</v>
      </c>
      <c r="D16" s="93">
        <v>1089286</v>
      </c>
      <c r="E16" s="93">
        <v>1103811</v>
      </c>
      <c r="F16" s="93">
        <v>1067141.19</v>
      </c>
      <c r="G16" s="35"/>
    </row>
    <row r="17" spans="2:7" s="1" customFormat="1" ht="14.25" x14ac:dyDescent="0.2">
      <c r="B17" s="133">
        <v>637</v>
      </c>
      <c r="C17" s="118" t="s">
        <v>358</v>
      </c>
      <c r="D17" s="93">
        <v>8179320</v>
      </c>
      <c r="E17" s="93">
        <v>8433693.0500000007</v>
      </c>
      <c r="F17" s="93">
        <v>6880005</v>
      </c>
      <c r="G17" s="35"/>
    </row>
    <row r="18" spans="2:7" s="1" customFormat="1" ht="14.25" x14ac:dyDescent="0.2">
      <c r="B18" s="131">
        <v>640</v>
      </c>
      <c r="C18" s="108" t="s">
        <v>359</v>
      </c>
      <c r="D18" s="132">
        <v>7960654</v>
      </c>
      <c r="E18" s="132">
        <v>10244918</v>
      </c>
      <c r="F18" s="132">
        <v>10094689.35</v>
      </c>
      <c r="G18" s="35"/>
    </row>
    <row r="19" spans="2:7" s="1" customFormat="1" ht="14.25" x14ac:dyDescent="0.2">
      <c r="B19" s="131">
        <v>650</v>
      </c>
      <c r="C19" s="108" t="s">
        <v>360</v>
      </c>
      <c r="D19" s="132">
        <v>120000</v>
      </c>
      <c r="E19" s="132">
        <v>370250</v>
      </c>
      <c r="F19" s="132">
        <v>368224.84</v>
      </c>
      <c r="G19" s="35"/>
    </row>
    <row r="20" spans="2:7" s="1" customFormat="1" ht="9" customHeight="1" x14ac:dyDescent="0.2">
      <c r="B20" s="134"/>
      <c r="C20" s="135"/>
      <c r="D20" s="136"/>
      <c r="E20" s="136"/>
      <c r="F20" s="136"/>
      <c r="G20" s="35"/>
    </row>
    <row r="21" spans="2:7" s="76" customFormat="1" ht="24.75" customHeight="1" x14ac:dyDescent="0.25">
      <c r="B21" s="137"/>
      <c r="C21" s="129" t="s">
        <v>343</v>
      </c>
      <c r="D21" s="130">
        <f>D22+D30</f>
        <v>71840511</v>
      </c>
      <c r="E21" s="130">
        <f>E22+E30</f>
        <v>79421346</v>
      </c>
      <c r="F21" s="130">
        <f>F22+F30</f>
        <v>17482941.68</v>
      </c>
    </row>
    <row r="22" spans="2:7" s="1" customFormat="1" ht="25.5" customHeight="1" x14ac:dyDescent="0.2">
      <c r="B22" s="138">
        <v>710</v>
      </c>
      <c r="C22" s="113" t="s">
        <v>361</v>
      </c>
      <c r="D22" s="132">
        <f>SUM(D23:D29)</f>
        <v>71840511</v>
      </c>
      <c r="E22" s="132">
        <f>SUM(E23:E29)</f>
        <v>79239026</v>
      </c>
      <c r="F22" s="132">
        <f>SUM(F23:F29)</f>
        <v>17300621.68</v>
      </c>
      <c r="G22" s="35"/>
    </row>
    <row r="23" spans="2:7" s="1" customFormat="1" ht="14.25" x14ac:dyDescent="0.2">
      <c r="B23" s="134">
        <v>711</v>
      </c>
      <c r="C23" s="135" t="s">
        <v>362</v>
      </c>
      <c r="D23" s="136">
        <v>1031434</v>
      </c>
      <c r="E23" s="136">
        <v>1150806</v>
      </c>
      <c r="F23" s="136">
        <v>813985.25</v>
      </c>
      <c r="G23" s="35"/>
    </row>
    <row r="24" spans="2:7" s="1" customFormat="1" ht="14.25" x14ac:dyDescent="0.2">
      <c r="B24" s="134">
        <v>712</v>
      </c>
      <c r="C24" s="135" t="s">
        <v>363</v>
      </c>
      <c r="D24" s="136">
        <v>150100</v>
      </c>
      <c r="E24" s="136">
        <v>2100</v>
      </c>
      <c r="F24" s="136">
        <v>2046</v>
      </c>
      <c r="G24" s="35"/>
    </row>
    <row r="25" spans="2:7" s="1" customFormat="1" ht="25.5" x14ac:dyDescent="0.2">
      <c r="B25" s="134">
        <v>713</v>
      </c>
      <c r="C25" s="135" t="s">
        <v>364</v>
      </c>
      <c r="D25" s="136">
        <v>3526849</v>
      </c>
      <c r="E25" s="136">
        <v>3480068</v>
      </c>
      <c r="F25" s="136">
        <v>3368498</v>
      </c>
      <c r="G25" s="35"/>
    </row>
    <row r="26" spans="2:7" s="1" customFormat="1" ht="14.25" x14ac:dyDescent="0.2">
      <c r="B26" s="134">
        <v>714</v>
      </c>
      <c r="C26" s="135" t="s">
        <v>365</v>
      </c>
      <c r="D26" s="136">
        <v>132000</v>
      </c>
      <c r="E26" s="136">
        <v>224300</v>
      </c>
      <c r="F26" s="136">
        <v>166305</v>
      </c>
      <c r="G26" s="35"/>
    </row>
    <row r="27" spans="2:7" s="1" customFormat="1" ht="14.25" x14ac:dyDescent="0.2">
      <c r="B27" s="134">
        <v>716</v>
      </c>
      <c r="C27" s="135" t="s">
        <v>366</v>
      </c>
      <c r="D27" s="136">
        <v>3229040</v>
      </c>
      <c r="E27" s="136">
        <v>3268576</v>
      </c>
      <c r="F27" s="136">
        <v>1185136.1200000001</v>
      </c>
      <c r="G27" s="35"/>
    </row>
    <row r="28" spans="2:7" s="1" customFormat="1" ht="25.5" x14ac:dyDescent="0.2">
      <c r="B28" s="134">
        <v>717</v>
      </c>
      <c r="C28" s="135" t="s">
        <v>367</v>
      </c>
      <c r="D28" s="136">
        <v>63771088</v>
      </c>
      <c r="E28" s="136">
        <v>71030887</v>
      </c>
      <c r="F28" s="136">
        <v>11685722.880000001</v>
      </c>
      <c r="G28" s="35"/>
    </row>
    <row r="29" spans="2:7" s="1" customFormat="1" ht="14.25" x14ac:dyDescent="0.2">
      <c r="B29" s="134">
        <v>719</v>
      </c>
      <c r="C29" s="135" t="s">
        <v>474</v>
      </c>
      <c r="D29" s="136">
        <v>0</v>
      </c>
      <c r="E29" s="136">
        <v>82289</v>
      </c>
      <c r="F29" s="136">
        <v>78928.429999999993</v>
      </c>
      <c r="G29" s="35"/>
    </row>
    <row r="30" spans="2:7" s="1" customFormat="1" ht="14.25" x14ac:dyDescent="0.2">
      <c r="B30" s="139">
        <v>720</v>
      </c>
      <c r="C30" s="140" t="s">
        <v>368</v>
      </c>
      <c r="D30" s="141">
        <v>0</v>
      </c>
      <c r="E30" s="141">
        <v>182320</v>
      </c>
      <c r="F30" s="141">
        <v>182320</v>
      </c>
    </row>
    <row r="31" spans="2:7" s="1" customFormat="1" ht="14.25" x14ac:dyDescent="0.2">
      <c r="B31" s="35"/>
      <c r="C31" s="35"/>
      <c r="D31" s="35"/>
      <c r="E31" s="35"/>
      <c r="F31" s="99"/>
    </row>
    <row r="32" spans="2:7" s="1" customFormat="1" ht="14.25" x14ac:dyDescent="0.2">
      <c r="B32" s="35"/>
      <c r="C32" s="35"/>
      <c r="D32" s="99"/>
      <c r="E32" s="99"/>
      <c r="F32" s="99"/>
    </row>
    <row r="33" spans="2:6" s="1" customFormat="1" ht="14.25" x14ac:dyDescent="0.2">
      <c r="B33" s="35"/>
      <c r="C33" s="35"/>
      <c r="D33" s="35"/>
      <c r="E33" s="35"/>
      <c r="F33" s="142"/>
    </row>
    <row r="34" spans="2:6" s="1" customFormat="1" ht="14.25" x14ac:dyDescent="0.2">
      <c r="B34" s="35"/>
      <c r="C34" s="35"/>
      <c r="D34" s="35"/>
      <c r="E34" s="35"/>
      <c r="F34" s="74"/>
    </row>
    <row r="35" spans="2:6" s="1" customFormat="1" ht="14.25" x14ac:dyDescent="0.2">
      <c r="B35" s="35"/>
      <c r="C35" s="35"/>
      <c r="D35" s="35"/>
      <c r="E35" s="35"/>
      <c r="F35" s="74"/>
    </row>
    <row r="36" spans="2:6" s="1" customFormat="1" ht="14.25" x14ac:dyDescent="0.2">
      <c r="B36" s="35"/>
      <c r="C36" s="35"/>
      <c r="D36" s="35"/>
      <c r="E36" s="35"/>
      <c r="F36" s="74"/>
    </row>
    <row r="37" spans="2:6" s="1" customFormat="1" ht="14.25" x14ac:dyDescent="0.2">
      <c r="B37" s="35"/>
      <c r="C37" s="35"/>
      <c r="D37" s="35"/>
      <c r="E37" s="35"/>
      <c r="F37" s="74"/>
    </row>
    <row r="38" spans="2:6" s="1" customFormat="1" ht="14.25" x14ac:dyDescent="0.2">
      <c r="B38" s="35"/>
      <c r="C38" s="35"/>
      <c r="D38" s="35"/>
      <c r="E38" s="35"/>
      <c r="F38" s="74"/>
    </row>
    <row r="39" spans="2:6" s="1" customFormat="1" ht="14.25" x14ac:dyDescent="0.2">
      <c r="B39" s="35"/>
      <c r="C39" s="35"/>
      <c r="D39" s="35"/>
      <c r="E39" s="35"/>
      <c r="F39" s="7"/>
    </row>
    <row r="49" spans="2:6" s="1" customFormat="1" ht="14.25" x14ac:dyDescent="0.2">
      <c r="B49" s="35"/>
      <c r="C49" s="35"/>
      <c r="D49" s="35"/>
      <c r="E49" s="35"/>
      <c r="F49" s="51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K24"/>
  <sheetViews>
    <sheetView workbookViewId="0"/>
  </sheetViews>
  <sheetFormatPr defaultRowHeight="12.75" x14ac:dyDescent="0.2"/>
  <cols>
    <col min="1" max="1" width="9.140625" style="35" customWidth="1"/>
    <col min="2" max="2" width="9.85546875" style="35" customWidth="1"/>
    <col min="3" max="3" width="41.7109375" style="35" customWidth="1"/>
    <col min="4" max="4" width="13.5703125" style="35" customWidth="1"/>
    <col min="5" max="5" width="12.7109375" style="35" customWidth="1"/>
    <col min="6" max="6" width="13.7109375" style="35" customWidth="1"/>
    <col min="7" max="7" width="9.140625" style="35" customWidth="1"/>
    <col min="8" max="16384" width="9.140625" style="35"/>
  </cols>
  <sheetData>
    <row r="2" spans="2:11" x14ac:dyDescent="0.2">
      <c r="F2" s="126" t="s">
        <v>369</v>
      </c>
    </row>
    <row r="4" spans="2:11" ht="42.75" customHeight="1" x14ac:dyDescent="0.2">
      <c r="B4" s="692" t="s">
        <v>926</v>
      </c>
      <c r="C4" s="692"/>
      <c r="D4" s="692"/>
      <c r="E4" s="692"/>
      <c r="F4" s="692"/>
      <c r="G4" s="344"/>
      <c r="H4" s="344"/>
    </row>
    <row r="6" spans="2:11" ht="36" customHeight="1" x14ac:dyDescent="0.2">
      <c r="B6" s="694" t="s">
        <v>0</v>
      </c>
      <c r="C6" s="694"/>
      <c r="D6" s="345" t="s">
        <v>253</v>
      </c>
      <c r="E6" s="345" t="s">
        <v>254</v>
      </c>
      <c r="F6" s="345" t="s">
        <v>255</v>
      </c>
    </row>
    <row r="7" spans="2:11" ht="18" customHeight="1" x14ac:dyDescent="0.2">
      <c r="B7" s="346"/>
      <c r="C7" s="347" t="s">
        <v>370</v>
      </c>
      <c r="D7" s="348">
        <f>SUM(D8:D11)</f>
        <v>30987291</v>
      </c>
      <c r="E7" s="348">
        <f t="shared" ref="E7:F7" si="0">SUM(E8:E11)</f>
        <v>31881105</v>
      </c>
      <c r="F7" s="348">
        <f t="shared" si="0"/>
        <v>8615728.0099999998</v>
      </c>
      <c r="J7" s="99"/>
    </row>
    <row r="8" spans="2:11" ht="18" customHeight="1" x14ac:dyDescent="0.2">
      <c r="B8" s="133">
        <v>453</v>
      </c>
      <c r="C8" s="89" t="s">
        <v>459</v>
      </c>
      <c r="D8" s="93">
        <v>5197291</v>
      </c>
      <c r="E8" s="93">
        <v>667215</v>
      </c>
      <c r="F8" s="93">
        <v>679676</v>
      </c>
      <c r="J8" s="99"/>
    </row>
    <row r="9" spans="2:11" x14ac:dyDescent="0.2">
      <c r="B9" s="349">
        <v>454</v>
      </c>
      <c r="C9" s="91" t="s">
        <v>476</v>
      </c>
      <c r="D9" s="93">
        <v>1840000</v>
      </c>
      <c r="E9" s="93">
        <v>7263890</v>
      </c>
      <c r="F9" s="93">
        <v>5400221.0099999998</v>
      </c>
    </row>
    <row r="10" spans="2:11" s="1" customFormat="1" ht="14.25" x14ac:dyDescent="0.2">
      <c r="B10" s="349">
        <v>513</v>
      </c>
      <c r="C10" s="89" t="s">
        <v>475</v>
      </c>
      <c r="D10" s="93">
        <v>9000000</v>
      </c>
      <c r="E10" s="93">
        <v>9000000</v>
      </c>
      <c r="F10" s="93">
        <v>2535831</v>
      </c>
      <c r="G10" s="35"/>
      <c r="H10" s="35"/>
      <c r="I10" s="35"/>
      <c r="J10" s="35"/>
      <c r="K10" s="35"/>
    </row>
    <row r="11" spans="2:11" s="1" customFormat="1" ht="14.25" x14ac:dyDescent="0.2">
      <c r="B11" s="349">
        <v>514</v>
      </c>
      <c r="C11" s="89"/>
      <c r="D11" s="93">
        <v>14950000</v>
      </c>
      <c r="E11" s="93">
        <v>14950000</v>
      </c>
      <c r="F11" s="93">
        <v>0</v>
      </c>
      <c r="G11" s="35"/>
      <c r="H11" s="35"/>
      <c r="I11" s="35"/>
      <c r="J11" s="35"/>
      <c r="K11" s="35"/>
    </row>
    <row r="12" spans="2:11" s="1" customFormat="1" ht="18" customHeight="1" x14ac:dyDescent="0.2">
      <c r="B12" s="346"/>
      <c r="C12" s="347" t="s">
        <v>371</v>
      </c>
      <c r="D12" s="348">
        <f>SUM(D13:D15)</f>
        <v>2309000</v>
      </c>
      <c r="E12" s="348">
        <f>SUM(E13:E15)</f>
        <v>7393496</v>
      </c>
      <c r="F12" s="348">
        <f>SUM(F13:F15)</f>
        <v>7389031.6899999995</v>
      </c>
      <c r="G12" s="35"/>
      <c r="H12" s="35"/>
      <c r="I12" s="35"/>
      <c r="J12" s="35"/>
      <c r="K12" s="35"/>
    </row>
    <row r="13" spans="2:11" s="1" customFormat="1" ht="18" customHeight="1" x14ac:dyDescent="0.2">
      <c r="B13" s="349">
        <v>814002</v>
      </c>
      <c r="C13" s="88" t="s">
        <v>927</v>
      </c>
      <c r="D13" s="93">
        <v>0</v>
      </c>
      <c r="E13" s="93">
        <v>5084496</v>
      </c>
      <c r="F13" s="93">
        <v>5084496</v>
      </c>
      <c r="G13" s="35"/>
      <c r="H13" s="35"/>
      <c r="I13" s="35"/>
      <c r="J13" s="35"/>
      <c r="K13" s="35"/>
    </row>
    <row r="14" spans="2:11" s="1" customFormat="1" ht="25.5" x14ac:dyDescent="0.2">
      <c r="B14" s="349">
        <v>821005</v>
      </c>
      <c r="C14" s="88" t="s">
        <v>372</v>
      </c>
      <c r="D14" s="93">
        <v>2204000</v>
      </c>
      <c r="E14" s="93">
        <v>2204000</v>
      </c>
      <c r="F14" s="93">
        <v>2203409.7999999998</v>
      </c>
      <c r="G14" s="35"/>
      <c r="H14" s="35"/>
      <c r="I14" s="35"/>
      <c r="J14" s="35"/>
      <c r="K14" s="35"/>
    </row>
    <row r="15" spans="2:11" s="1" customFormat="1" ht="38.25" x14ac:dyDescent="0.2">
      <c r="B15" s="349">
        <v>821007</v>
      </c>
      <c r="C15" s="88" t="s">
        <v>373</v>
      </c>
      <c r="D15" s="93">
        <v>105000</v>
      </c>
      <c r="E15" s="93">
        <v>105000</v>
      </c>
      <c r="F15" s="93">
        <v>101125.89</v>
      </c>
      <c r="G15" s="35"/>
      <c r="H15" s="35"/>
      <c r="I15" s="35"/>
      <c r="J15" s="35"/>
      <c r="K15" s="35"/>
    </row>
    <row r="24" spans="2:11" s="1" customFormat="1" ht="14.25" x14ac:dyDescent="0.2">
      <c r="B24" s="35"/>
      <c r="C24" s="35"/>
      <c r="D24" s="35"/>
      <c r="E24" s="35"/>
      <c r="F24" s="35"/>
      <c r="G24" s="35"/>
      <c r="H24" s="35"/>
      <c r="I24" s="35"/>
      <c r="J24" s="35"/>
      <c r="K24" s="51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1:X27"/>
  <sheetViews>
    <sheetView workbookViewId="0"/>
  </sheetViews>
  <sheetFormatPr defaultColWidth="9.140625" defaultRowHeight="14.25" x14ac:dyDescent="0.2"/>
  <cols>
    <col min="1" max="1" width="9.140625" style="1"/>
    <col min="2" max="2" width="14" style="1" customWidth="1"/>
    <col min="3" max="3" width="6.140625" style="1" customWidth="1"/>
    <col min="4" max="4" width="7.85546875" style="1" customWidth="1"/>
    <col min="5" max="5" width="5.42578125" style="1" customWidth="1"/>
    <col min="6" max="6" width="5.7109375" style="1" customWidth="1"/>
    <col min="7" max="7" width="5.42578125" style="1" customWidth="1"/>
    <col min="8" max="8" width="6" style="1" customWidth="1"/>
    <col min="9" max="9" width="7.7109375" style="1" customWidth="1"/>
    <col min="10" max="11" width="5.42578125" style="1" customWidth="1"/>
    <col min="12" max="12" width="5" style="1" customWidth="1"/>
    <col min="13" max="13" width="5.7109375" style="1" customWidth="1"/>
    <col min="14" max="14" width="6.7109375" style="1" customWidth="1"/>
    <col min="15" max="16" width="8" style="1" customWidth="1"/>
    <col min="17" max="17" width="7.7109375" style="1" customWidth="1"/>
    <col min="18" max="18" width="6.42578125" style="1" customWidth="1"/>
    <col min="19" max="19" width="6.7109375" style="1" customWidth="1"/>
    <col min="20" max="20" width="7" style="1" customWidth="1"/>
    <col min="21" max="21" width="6.7109375" style="1" customWidth="1"/>
    <col min="22" max="16384" width="9.140625" style="1"/>
  </cols>
  <sheetData>
    <row r="1" spans="2:24" x14ac:dyDescent="0.2"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</row>
    <row r="2" spans="2:24" x14ac:dyDescent="0.2"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8" t="s">
        <v>393</v>
      </c>
      <c r="U2" s="487"/>
      <c r="V2" s="487"/>
      <c r="W2" s="487"/>
      <c r="X2" s="487"/>
    </row>
    <row r="3" spans="2:24" x14ac:dyDescent="0.2"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487"/>
      <c r="V3" s="487"/>
      <c r="W3" s="487"/>
      <c r="X3" s="487"/>
    </row>
    <row r="4" spans="2:24" ht="17.100000000000001" customHeight="1" x14ac:dyDescent="0.25">
      <c r="B4" s="698" t="s">
        <v>973</v>
      </c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698"/>
      <c r="Q4" s="698"/>
      <c r="R4" s="698"/>
      <c r="S4" s="698"/>
      <c r="T4" s="698"/>
      <c r="U4" s="487"/>
      <c r="V4" s="489"/>
      <c r="W4" s="489"/>
      <c r="X4" s="489"/>
    </row>
    <row r="5" spans="2:24" ht="21.95" customHeight="1" x14ac:dyDescent="0.25">
      <c r="B5" s="699" t="s">
        <v>974</v>
      </c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  <c r="P5" s="699"/>
      <c r="Q5" s="699"/>
      <c r="R5" s="699"/>
      <c r="S5" s="699"/>
      <c r="T5" s="699"/>
      <c r="U5" s="699"/>
      <c r="V5" s="489"/>
      <c r="W5" s="489"/>
      <c r="X5" s="489"/>
    </row>
    <row r="6" spans="2:24" ht="8.25" customHeight="1" x14ac:dyDescent="0.2"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697"/>
      <c r="Q6" s="697"/>
      <c r="R6" s="697"/>
      <c r="S6" s="697"/>
      <c r="T6" s="697"/>
      <c r="U6" s="697"/>
      <c r="V6" s="489"/>
      <c r="W6" s="489"/>
      <c r="X6" s="489"/>
    </row>
    <row r="7" spans="2:24" s="8" customFormat="1" ht="80.25" customHeight="1" x14ac:dyDescent="0.25">
      <c r="B7" s="490" t="s">
        <v>394</v>
      </c>
      <c r="C7" s="491" t="s">
        <v>975</v>
      </c>
      <c r="D7" s="491" t="s">
        <v>976</v>
      </c>
      <c r="E7" s="492" t="s">
        <v>10</v>
      </c>
      <c r="F7" s="492" t="s">
        <v>12</v>
      </c>
      <c r="G7" s="492" t="s">
        <v>14</v>
      </c>
      <c r="H7" s="492" t="s">
        <v>16</v>
      </c>
      <c r="I7" s="491" t="s">
        <v>464</v>
      </c>
      <c r="J7" s="492" t="s">
        <v>18</v>
      </c>
      <c r="K7" s="492" t="s">
        <v>20</v>
      </c>
      <c r="L7" s="492" t="s">
        <v>22</v>
      </c>
      <c r="M7" s="492" t="s">
        <v>24</v>
      </c>
      <c r="N7" s="492" t="s">
        <v>27</v>
      </c>
      <c r="O7" s="492" t="s">
        <v>395</v>
      </c>
      <c r="P7" s="491" t="s">
        <v>396</v>
      </c>
      <c r="Q7" s="491" t="s">
        <v>397</v>
      </c>
      <c r="R7" s="491" t="s">
        <v>398</v>
      </c>
      <c r="S7" s="491" t="s">
        <v>399</v>
      </c>
      <c r="T7" s="491" t="s">
        <v>400</v>
      </c>
      <c r="U7" s="491" t="s">
        <v>401</v>
      </c>
      <c r="V7" s="493"/>
      <c r="W7" s="493"/>
      <c r="X7" s="493"/>
    </row>
    <row r="8" spans="2:24" x14ac:dyDescent="0.2">
      <c r="B8" s="494" t="s">
        <v>402</v>
      </c>
      <c r="C8" s="495">
        <v>0</v>
      </c>
      <c r="D8" s="495">
        <v>0</v>
      </c>
      <c r="E8" s="495">
        <v>49</v>
      </c>
      <c r="F8" s="495">
        <v>39</v>
      </c>
      <c r="G8" s="495">
        <v>50</v>
      </c>
      <c r="H8" s="495">
        <v>66</v>
      </c>
      <c r="I8" s="496">
        <v>204</v>
      </c>
      <c r="J8" s="495">
        <v>60</v>
      </c>
      <c r="K8" s="495">
        <v>68</v>
      </c>
      <c r="L8" s="495">
        <v>48</v>
      </c>
      <c r="M8" s="495">
        <v>54</v>
      </c>
      <c r="N8" s="495">
        <v>53</v>
      </c>
      <c r="O8" s="496">
        <v>283</v>
      </c>
      <c r="P8" s="496">
        <v>487</v>
      </c>
      <c r="Q8" s="497">
        <v>4</v>
      </c>
      <c r="R8" s="495">
        <v>21</v>
      </c>
      <c r="S8" s="495">
        <v>183</v>
      </c>
      <c r="T8" s="495">
        <v>13</v>
      </c>
      <c r="U8" s="498">
        <v>1</v>
      </c>
      <c r="V8" s="489"/>
      <c r="W8" s="489"/>
      <c r="X8" s="489"/>
    </row>
    <row r="9" spans="2:24" x14ac:dyDescent="0.2">
      <c r="B9" s="494" t="s">
        <v>403</v>
      </c>
      <c r="C9" s="495">
        <v>0</v>
      </c>
      <c r="D9" s="495">
        <v>0</v>
      </c>
      <c r="E9" s="495">
        <v>74</v>
      </c>
      <c r="F9" s="495">
        <v>69</v>
      </c>
      <c r="G9" s="495">
        <v>71</v>
      </c>
      <c r="H9" s="495">
        <v>69</v>
      </c>
      <c r="I9" s="496">
        <v>283</v>
      </c>
      <c r="J9" s="495">
        <v>71</v>
      </c>
      <c r="K9" s="495">
        <v>69</v>
      </c>
      <c r="L9" s="495">
        <v>74</v>
      </c>
      <c r="M9" s="495">
        <v>69</v>
      </c>
      <c r="N9" s="495">
        <v>75</v>
      </c>
      <c r="O9" s="496">
        <v>358</v>
      </c>
      <c r="P9" s="496">
        <v>641</v>
      </c>
      <c r="Q9" s="497">
        <v>5</v>
      </c>
      <c r="R9" s="495">
        <v>27</v>
      </c>
      <c r="S9" s="495">
        <v>256</v>
      </c>
      <c r="T9" s="495">
        <v>23</v>
      </c>
      <c r="U9" s="498">
        <v>0</v>
      </c>
      <c r="V9" s="489"/>
      <c r="W9" s="489"/>
      <c r="X9" s="489"/>
    </row>
    <row r="10" spans="2:24" x14ac:dyDescent="0.2">
      <c r="B10" s="494" t="s">
        <v>404</v>
      </c>
      <c r="C10" s="495">
        <v>0</v>
      </c>
      <c r="D10" s="495">
        <v>0</v>
      </c>
      <c r="E10" s="495">
        <v>97</v>
      </c>
      <c r="F10" s="495">
        <v>88</v>
      </c>
      <c r="G10" s="495">
        <v>75</v>
      </c>
      <c r="H10" s="495">
        <v>93</v>
      </c>
      <c r="I10" s="496">
        <v>353</v>
      </c>
      <c r="J10" s="495">
        <v>98</v>
      </c>
      <c r="K10" s="495">
        <v>94</v>
      </c>
      <c r="L10" s="495">
        <v>108</v>
      </c>
      <c r="M10" s="495">
        <v>92</v>
      </c>
      <c r="N10" s="495">
        <v>96</v>
      </c>
      <c r="O10" s="496">
        <v>488</v>
      </c>
      <c r="P10" s="496">
        <v>841</v>
      </c>
      <c r="Q10" s="497">
        <v>-28</v>
      </c>
      <c r="R10" s="495">
        <v>37</v>
      </c>
      <c r="S10" s="495">
        <v>325</v>
      </c>
      <c r="T10" s="495">
        <v>48</v>
      </c>
      <c r="U10" s="498">
        <v>0</v>
      </c>
      <c r="V10" s="489"/>
      <c r="W10" s="489"/>
      <c r="X10" s="489"/>
    </row>
    <row r="11" spans="2:24" x14ac:dyDescent="0.2">
      <c r="B11" s="494" t="s">
        <v>405</v>
      </c>
      <c r="C11" s="495">
        <v>0</v>
      </c>
      <c r="D11" s="495">
        <v>0</v>
      </c>
      <c r="E11" s="495">
        <v>64</v>
      </c>
      <c r="F11" s="495">
        <v>64</v>
      </c>
      <c r="G11" s="495">
        <v>62</v>
      </c>
      <c r="H11" s="495">
        <v>53</v>
      </c>
      <c r="I11" s="496">
        <v>243</v>
      </c>
      <c r="J11" s="495">
        <v>57</v>
      </c>
      <c r="K11" s="495">
        <v>57</v>
      </c>
      <c r="L11" s="495">
        <v>51</v>
      </c>
      <c r="M11" s="495">
        <v>44</v>
      </c>
      <c r="N11" s="495">
        <v>48</v>
      </c>
      <c r="O11" s="496">
        <v>257</v>
      </c>
      <c r="P11" s="496">
        <v>500</v>
      </c>
      <c r="Q11" s="700">
        <v>57</v>
      </c>
      <c r="R11" s="495">
        <v>21</v>
      </c>
      <c r="S11" s="495">
        <v>308</v>
      </c>
      <c r="T11" s="495">
        <v>32</v>
      </c>
      <c r="U11" s="498">
        <v>0</v>
      </c>
      <c r="V11" s="489"/>
      <c r="W11" s="489"/>
      <c r="X11" s="489"/>
    </row>
    <row r="12" spans="2:24" ht="24" x14ac:dyDescent="0.2">
      <c r="B12" s="499" t="s">
        <v>465</v>
      </c>
      <c r="C12" s="495">
        <v>0</v>
      </c>
      <c r="D12" s="495">
        <v>0</v>
      </c>
      <c r="E12" s="495">
        <v>16</v>
      </c>
      <c r="F12" s="495">
        <v>12</v>
      </c>
      <c r="G12" s="495">
        <v>27</v>
      </c>
      <c r="H12" s="495">
        <v>15</v>
      </c>
      <c r="I12" s="496">
        <v>70</v>
      </c>
      <c r="J12" s="495">
        <v>12</v>
      </c>
      <c r="K12" s="495">
        <v>0</v>
      </c>
      <c r="L12" s="495">
        <v>0</v>
      </c>
      <c r="M12" s="495">
        <v>11</v>
      </c>
      <c r="N12" s="495">
        <v>0</v>
      </c>
      <c r="O12" s="496">
        <v>23</v>
      </c>
      <c r="P12" s="496">
        <v>93</v>
      </c>
      <c r="Q12" s="701"/>
      <c r="R12" s="495">
        <v>9</v>
      </c>
      <c r="S12" s="495">
        <v>0</v>
      </c>
      <c r="T12" s="495">
        <v>0</v>
      </c>
      <c r="U12" s="498">
        <v>0</v>
      </c>
      <c r="V12" s="489"/>
      <c r="W12" s="489"/>
      <c r="X12" s="489"/>
    </row>
    <row r="13" spans="2:24" ht="36" x14ac:dyDescent="0.2">
      <c r="B13" s="499" t="s">
        <v>977</v>
      </c>
      <c r="C13" s="495">
        <v>0</v>
      </c>
      <c r="D13" s="495">
        <v>0</v>
      </c>
      <c r="E13" s="495">
        <v>0</v>
      </c>
      <c r="F13" s="495">
        <v>2</v>
      </c>
      <c r="G13" s="495">
        <v>3</v>
      </c>
      <c r="H13" s="495">
        <v>0</v>
      </c>
      <c r="I13" s="496">
        <v>5</v>
      </c>
      <c r="J13" s="495">
        <v>0</v>
      </c>
      <c r="K13" s="495">
        <v>0</v>
      </c>
      <c r="L13" s="495">
        <v>0</v>
      </c>
      <c r="M13" s="495">
        <v>0</v>
      </c>
      <c r="N13" s="495">
        <v>0</v>
      </c>
      <c r="O13" s="496">
        <v>0</v>
      </c>
      <c r="P13" s="496">
        <v>5</v>
      </c>
      <c r="Q13" s="500">
        <v>5</v>
      </c>
      <c r="R13" s="495">
        <v>2</v>
      </c>
      <c r="S13" s="495">
        <v>0</v>
      </c>
      <c r="T13" s="495">
        <v>0</v>
      </c>
      <c r="U13" s="498">
        <v>0</v>
      </c>
      <c r="V13" s="489"/>
      <c r="W13" s="489"/>
      <c r="X13" s="489"/>
    </row>
    <row r="14" spans="2:24" x14ac:dyDescent="0.2">
      <c r="B14" s="494" t="s">
        <v>406</v>
      </c>
      <c r="C14" s="501">
        <v>0</v>
      </c>
      <c r="D14" s="501">
        <v>0</v>
      </c>
      <c r="E14" s="501">
        <v>48</v>
      </c>
      <c r="F14" s="501">
        <v>45</v>
      </c>
      <c r="G14" s="501">
        <v>51</v>
      </c>
      <c r="H14" s="501">
        <v>50</v>
      </c>
      <c r="I14" s="496">
        <v>194</v>
      </c>
      <c r="J14" s="495">
        <v>43</v>
      </c>
      <c r="K14" s="495">
        <v>48</v>
      </c>
      <c r="L14" s="495">
        <v>45</v>
      </c>
      <c r="M14" s="495">
        <v>28</v>
      </c>
      <c r="N14" s="495">
        <v>39</v>
      </c>
      <c r="O14" s="496">
        <v>203</v>
      </c>
      <c r="P14" s="496">
        <v>397</v>
      </c>
      <c r="Q14" s="497">
        <v>14</v>
      </c>
      <c r="R14" s="495">
        <v>19</v>
      </c>
      <c r="S14" s="495">
        <v>151</v>
      </c>
      <c r="T14" s="495">
        <v>45</v>
      </c>
      <c r="U14" s="498">
        <v>2</v>
      </c>
      <c r="V14" s="489"/>
      <c r="W14" s="489"/>
      <c r="X14" s="489"/>
    </row>
    <row r="15" spans="2:24" x14ac:dyDescent="0.2">
      <c r="B15" s="494" t="s">
        <v>407</v>
      </c>
      <c r="C15" s="495">
        <v>0</v>
      </c>
      <c r="D15" s="495">
        <v>0</v>
      </c>
      <c r="E15" s="495">
        <v>92</v>
      </c>
      <c r="F15" s="495">
        <v>90</v>
      </c>
      <c r="G15" s="495">
        <v>81</v>
      </c>
      <c r="H15" s="495">
        <v>92</v>
      </c>
      <c r="I15" s="496">
        <v>355</v>
      </c>
      <c r="J15" s="495">
        <v>80</v>
      </c>
      <c r="K15" s="495">
        <v>101</v>
      </c>
      <c r="L15" s="495">
        <v>98</v>
      </c>
      <c r="M15" s="495">
        <v>97</v>
      </c>
      <c r="N15" s="495">
        <v>100</v>
      </c>
      <c r="O15" s="496">
        <v>476</v>
      </c>
      <c r="P15" s="496">
        <v>831</v>
      </c>
      <c r="Q15" s="497">
        <v>38</v>
      </c>
      <c r="R15" s="495">
        <v>36</v>
      </c>
      <c r="S15" s="495">
        <v>295</v>
      </c>
      <c r="T15" s="495">
        <v>42</v>
      </c>
      <c r="U15" s="498">
        <v>2</v>
      </c>
      <c r="V15" s="489"/>
      <c r="W15" s="489"/>
      <c r="X15" s="489"/>
    </row>
    <row r="16" spans="2:24" x14ac:dyDescent="0.2">
      <c r="B16" s="494" t="s">
        <v>408</v>
      </c>
      <c r="C16" s="495">
        <v>0</v>
      </c>
      <c r="D16" s="495">
        <v>0</v>
      </c>
      <c r="E16" s="495">
        <v>0</v>
      </c>
      <c r="F16" s="495">
        <v>0</v>
      </c>
      <c r="G16" s="495">
        <v>0</v>
      </c>
      <c r="H16" s="495">
        <v>0</v>
      </c>
      <c r="I16" s="496">
        <v>0</v>
      </c>
      <c r="J16" s="495">
        <v>0</v>
      </c>
      <c r="K16" s="495">
        <v>0</v>
      </c>
      <c r="L16" s="495">
        <v>0</v>
      </c>
      <c r="M16" s="495">
        <v>0</v>
      </c>
      <c r="N16" s="495">
        <v>0</v>
      </c>
      <c r="O16" s="496">
        <v>0</v>
      </c>
      <c r="P16" s="496">
        <v>0</v>
      </c>
      <c r="Q16" s="497">
        <v>-22</v>
      </c>
      <c r="R16" s="495">
        <v>0</v>
      </c>
      <c r="S16" s="495">
        <v>0</v>
      </c>
      <c r="T16" s="495">
        <v>0</v>
      </c>
      <c r="U16" s="498">
        <v>0</v>
      </c>
      <c r="V16" s="489"/>
      <c r="W16" s="489"/>
      <c r="X16" s="489"/>
    </row>
    <row r="17" spans="2:24" ht="24.75" customHeight="1" x14ac:dyDescent="0.2">
      <c r="B17" s="494" t="s">
        <v>409</v>
      </c>
      <c r="C17" s="495">
        <v>0</v>
      </c>
      <c r="D17" s="495">
        <v>0</v>
      </c>
      <c r="E17" s="495">
        <v>89</v>
      </c>
      <c r="F17" s="495">
        <v>83</v>
      </c>
      <c r="G17" s="495">
        <v>91</v>
      </c>
      <c r="H17" s="495">
        <v>91</v>
      </c>
      <c r="I17" s="496">
        <v>354</v>
      </c>
      <c r="J17" s="495">
        <v>93</v>
      </c>
      <c r="K17" s="495">
        <v>88</v>
      </c>
      <c r="L17" s="495">
        <v>88</v>
      </c>
      <c r="M17" s="495">
        <v>89</v>
      </c>
      <c r="N17" s="495">
        <v>78</v>
      </c>
      <c r="O17" s="502">
        <v>436</v>
      </c>
      <c r="P17" s="496">
        <v>790</v>
      </c>
      <c r="Q17" s="497">
        <v>4</v>
      </c>
      <c r="R17" s="495">
        <v>32</v>
      </c>
      <c r="S17" s="495">
        <v>308</v>
      </c>
      <c r="T17" s="495">
        <v>44</v>
      </c>
      <c r="U17" s="498">
        <v>0</v>
      </c>
      <c r="V17" s="489"/>
      <c r="W17" s="489"/>
      <c r="X17" s="489"/>
    </row>
    <row r="18" spans="2:24" x14ac:dyDescent="0.2">
      <c r="B18" s="494" t="s">
        <v>410</v>
      </c>
      <c r="C18" s="495">
        <v>7</v>
      </c>
      <c r="D18" s="495">
        <v>10</v>
      </c>
      <c r="E18" s="495">
        <v>39</v>
      </c>
      <c r="F18" s="495">
        <v>18</v>
      </c>
      <c r="G18" s="495">
        <v>24</v>
      </c>
      <c r="H18" s="495">
        <v>23</v>
      </c>
      <c r="I18" s="496">
        <v>121</v>
      </c>
      <c r="J18" s="495">
        <v>28</v>
      </c>
      <c r="K18" s="495">
        <v>30</v>
      </c>
      <c r="L18" s="495">
        <v>24</v>
      </c>
      <c r="M18" s="495">
        <v>30</v>
      </c>
      <c r="N18" s="495">
        <v>22</v>
      </c>
      <c r="O18" s="496">
        <v>134</v>
      </c>
      <c r="P18" s="496">
        <v>255</v>
      </c>
      <c r="Q18" s="497">
        <v>12</v>
      </c>
      <c r="R18" s="495">
        <v>10</v>
      </c>
      <c r="S18" s="495">
        <v>107</v>
      </c>
      <c r="T18" s="495">
        <v>18</v>
      </c>
      <c r="U18" s="498">
        <v>0</v>
      </c>
    </row>
    <row r="19" spans="2:24" ht="26.25" customHeight="1" x14ac:dyDescent="0.2">
      <c r="B19" s="499" t="s">
        <v>411</v>
      </c>
      <c r="C19" s="496">
        <f t="shared" ref="C19:P19" si="0">SUM(C8:C18)</f>
        <v>7</v>
      </c>
      <c r="D19" s="496">
        <f t="shared" si="0"/>
        <v>10</v>
      </c>
      <c r="E19" s="496">
        <f t="shared" si="0"/>
        <v>568</v>
      </c>
      <c r="F19" s="496">
        <f t="shared" si="0"/>
        <v>510</v>
      </c>
      <c r="G19" s="502">
        <f t="shared" si="0"/>
        <v>535</v>
      </c>
      <c r="H19" s="496">
        <f t="shared" si="0"/>
        <v>552</v>
      </c>
      <c r="I19" s="496">
        <f>SUM(I8:I18)</f>
        <v>2182</v>
      </c>
      <c r="J19" s="496">
        <f t="shared" si="0"/>
        <v>542</v>
      </c>
      <c r="K19" s="496">
        <f t="shared" si="0"/>
        <v>555</v>
      </c>
      <c r="L19" s="496">
        <f t="shared" si="0"/>
        <v>536</v>
      </c>
      <c r="M19" s="496">
        <f t="shared" si="0"/>
        <v>514</v>
      </c>
      <c r="N19" s="496">
        <f t="shared" si="0"/>
        <v>511</v>
      </c>
      <c r="O19" s="496">
        <f t="shared" si="0"/>
        <v>2658</v>
      </c>
      <c r="P19" s="496">
        <f t="shared" si="0"/>
        <v>4840</v>
      </c>
      <c r="Q19" s="496">
        <f>SUM(Q8:Q18)</f>
        <v>89</v>
      </c>
      <c r="R19" s="496">
        <f>SUM(R8:R18)</f>
        <v>214</v>
      </c>
      <c r="S19" s="496">
        <f>SUM(S8:S18)</f>
        <v>1933</v>
      </c>
      <c r="T19" s="496">
        <f>SUM(T8:T18)</f>
        <v>265</v>
      </c>
      <c r="U19" s="503">
        <f>SUM(U8:U18)</f>
        <v>5</v>
      </c>
    </row>
    <row r="20" spans="2:24" ht="15" customHeight="1" x14ac:dyDescent="0.2">
      <c r="B20" s="504" t="s">
        <v>412</v>
      </c>
      <c r="C20" s="505">
        <v>1</v>
      </c>
      <c r="D20" s="505">
        <v>1</v>
      </c>
      <c r="E20" s="505">
        <v>25</v>
      </c>
      <c r="F20" s="505">
        <v>23</v>
      </c>
      <c r="G20" s="505">
        <v>24</v>
      </c>
      <c r="H20" s="505">
        <v>23</v>
      </c>
      <c r="I20" s="506" t="s">
        <v>485</v>
      </c>
      <c r="J20" s="505">
        <v>23</v>
      </c>
      <c r="K20" s="505">
        <v>22</v>
      </c>
      <c r="L20" s="505">
        <v>22</v>
      </c>
      <c r="M20" s="505">
        <v>20</v>
      </c>
      <c r="N20" s="505">
        <v>21</v>
      </c>
      <c r="O20" s="506" t="s">
        <v>485</v>
      </c>
      <c r="P20" s="506" t="s">
        <v>485</v>
      </c>
      <c r="Q20" s="507" t="s">
        <v>485</v>
      </c>
      <c r="R20" s="508" t="s">
        <v>485</v>
      </c>
      <c r="S20" s="505" t="s">
        <v>485</v>
      </c>
      <c r="T20" s="505" t="s">
        <v>485</v>
      </c>
      <c r="U20" s="509" t="s">
        <v>485</v>
      </c>
    </row>
    <row r="21" spans="2:24" ht="15" customHeight="1" x14ac:dyDescent="0.2">
      <c r="B21" s="510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</row>
    <row r="22" spans="2:24" x14ac:dyDescent="0.2">
      <c r="B22" s="702" t="s">
        <v>979</v>
      </c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</row>
    <row r="23" spans="2:24" x14ac:dyDescent="0.2">
      <c r="B23" s="695" t="s">
        <v>980</v>
      </c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511"/>
    </row>
    <row r="24" spans="2:24" x14ac:dyDescent="0.2">
      <c r="B24" s="695" t="s">
        <v>978</v>
      </c>
      <c r="C24" s="695"/>
      <c r="D24" s="695"/>
      <c r="E24" s="695"/>
      <c r="F24" s="695"/>
      <c r="G24" s="695"/>
      <c r="H24" s="695"/>
      <c r="I24" s="695"/>
      <c r="J24" s="695"/>
      <c r="K24" s="511"/>
      <c r="L24" s="511"/>
      <c r="M24" s="511"/>
      <c r="N24" s="511"/>
      <c r="O24" s="695"/>
      <c r="P24" s="695"/>
      <c r="Q24" s="695"/>
      <c r="R24" s="695"/>
      <c r="S24" s="695"/>
      <c r="T24" s="695"/>
      <c r="U24" s="511"/>
    </row>
    <row r="25" spans="2:24" x14ac:dyDescent="0.2">
      <c r="B25" s="696" t="s">
        <v>981</v>
      </c>
      <c r="C25" s="696"/>
      <c r="D25" s="696"/>
      <c r="E25" s="696"/>
      <c r="F25" s="696"/>
      <c r="G25" s="696"/>
      <c r="H25" s="696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</row>
    <row r="26" spans="2:24" x14ac:dyDescent="0.2">
      <c r="B26" s="695" t="s">
        <v>982</v>
      </c>
      <c r="C26" s="695"/>
      <c r="D26" s="695"/>
      <c r="E26" s="695"/>
      <c r="F26" s="695"/>
      <c r="G26" s="695"/>
      <c r="H26" s="695"/>
      <c r="I26" s="695"/>
      <c r="J26" s="695"/>
      <c r="K26" s="695"/>
      <c r="L26" s="695"/>
      <c r="M26" s="695"/>
      <c r="N26" s="695"/>
      <c r="O26" s="695"/>
      <c r="P26" s="695"/>
      <c r="Q26" s="695"/>
      <c r="R26" s="695"/>
      <c r="S26" s="695"/>
      <c r="T26" s="695"/>
      <c r="U26" s="695"/>
    </row>
    <row r="27" spans="2:24" ht="15" x14ac:dyDescent="0.25">
      <c r="B27" s="1" t="s">
        <v>983</v>
      </c>
    </row>
  </sheetData>
  <mergeCells count="12">
    <mergeCell ref="O24:T24"/>
    <mergeCell ref="B25:H25"/>
    <mergeCell ref="B26:U26"/>
    <mergeCell ref="B3:T3"/>
    <mergeCell ref="B4:T4"/>
    <mergeCell ref="B5:U5"/>
    <mergeCell ref="B6:U6"/>
    <mergeCell ref="Q11:Q12"/>
    <mergeCell ref="B22:U22"/>
    <mergeCell ref="B23:I23"/>
    <mergeCell ref="J23:T23"/>
    <mergeCell ref="B24:J24"/>
  </mergeCells>
  <pageMargins left="0.51181102362204722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L33"/>
  <sheetViews>
    <sheetView workbookViewId="0"/>
  </sheetViews>
  <sheetFormatPr defaultColWidth="9.140625" defaultRowHeight="14.25" x14ac:dyDescent="0.2"/>
  <cols>
    <col min="1" max="1" width="4" style="1" customWidth="1"/>
    <col min="2" max="2" width="18" style="1" customWidth="1"/>
    <col min="3" max="3" width="11.85546875" style="1" customWidth="1"/>
    <col min="4" max="4" width="11.42578125" style="1" customWidth="1"/>
    <col min="5" max="5" width="9.140625" style="1"/>
    <col min="6" max="6" width="13.28515625" style="1" customWidth="1"/>
    <col min="7" max="7" width="13.42578125" style="1" customWidth="1"/>
    <col min="8" max="8" width="11.85546875" style="1" customWidth="1"/>
    <col min="9" max="9" width="13.7109375" style="1" customWidth="1"/>
    <col min="10" max="10" width="6.85546875" style="1" customWidth="1"/>
    <col min="11" max="11" width="4.7109375" style="1" customWidth="1"/>
    <col min="12" max="16384" width="9.140625" style="1"/>
  </cols>
  <sheetData>
    <row r="1" spans="2:9" x14ac:dyDescent="0.2">
      <c r="B1" s="512"/>
      <c r="C1" s="512"/>
      <c r="D1" s="512"/>
      <c r="E1" s="512"/>
      <c r="F1" s="512"/>
      <c r="G1" s="512"/>
      <c r="H1" s="512"/>
      <c r="I1" s="512"/>
    </row>
    <row r="2" spans="2:9" x14ac:dyDescent="0.2">
      <c r="B2" s="512"/>
      <c r="C2" s="512"/>
      <c r="D2" s="512"/>
      <c r="E2" s="512"/>
      <c r="F2" s="512"/>
      <c r="G2" s="512"/>
      <c r="H2" s="512"/>
      <c r="I2" s="512" t="s">
        <v>374</v>
      </c>
    </row>
    <row r="3" spans="2:9" x14ac:dyDescent="0.2">
      <c r="B3" s="512"/>
      <c r="C3" s="512"/>
      <c r="D3" s="512"/>
      <c r="E3" s="512"/>
      <c r="F3" s="512"/>
      <c r="G3" s="512"/>
      <c r="H3" s="512"/>
      <c r="I3" s="512"/>
    </row>
    <row r="4" spans="2:9" ht="18" x14ac:dyDescent="0.25">
      <c r="B4" s="704" t="s">
        <v>562</v>
      </c>
      <c r="C4" s="704"/>
      <c r="D4" s="704"/>
      <c r="E4" s="704"/>
      <c r="F4" s="704"/>
      <c r="G4" s="704"/>
      <c r="H4" s="704"/>
      <c r="I4" s="704"/>
    </row>
    <row r="5" spans="2:9" x14ac:dyDescent="0.2">
      <c r="B5" s="512"/>
      <c r="C5" s="512"/>
      <c r="D5" s="512"/>
      <c r="E5" s="512"/>
      <c r="F5" s="512"/>
      <c r="G5" s="512"/>
      <c r="H5" s="512"/>
      <c r="I5" s="512"/>
    </row>
    <row r="6" spans="2:9" x14ac:dyDescent="0.2">
      <c r="B6" s="512"/>
      <c r="C6" s="512"/>
      <c r="D6" s="512"/>
      <c r="E6" s="512"/>
      <c r="F6" s="512"/>
      <c r="G6" s="512"/>
      <c r="H6" s="512"/>
      <c r="I6" s="513" t="s">
        <v>984</v>
      </c>
    </row>
    <row r="7" spans="2:9" x14ac:dyDescent="0.2">
      <c r="B7" s="705"/>
      <c r="C7" s="707" t="s">
        <v>375</v>
      </c>
      <c r="D7" s="707" t="s">
        <v>376</v>
      </c>
      <c r="E7" s="707" t="s">
        <v>377</v>
      </c>
      <c r="F7" s="707" t="s">
        <v>378</v>
      </c>
      <c r="G7" s="707" t="s">
        <v>379</v>
      </c>
      <c r="H7" s="707" t="s">
        <v>380</v>
      </c>
      <c r="I7" s="707" t="s">
        <v>381</v>
      </c>
    </row>
    <row r="8" spans="2:9" x14ac:dyDescent="0.2">
      <c r="B8" s="706"/>
      <c r="C8" s="708"/>
      <c r="D8" s="708"/>
      <c r="E8" s="708"/>
      <c r="F8" s="708"/>
      <c r="G8" s="708"/>
      <c r="H8" s="708"/>
      <c r="I8" s="708"/>
    </row>
    <row r="9" spans="2:9" x14ac:dyDescent="0.2">
      <c r="B9" s="706"/>
      <c r="C9" s="708"/>
      <c r="D9" s="708"/>
      <c r="E9" s="708"/>
      <c r="F9" s="708"/>
      <c r="G9" s="708"/>
      <c r="H9" s="708"/>
      <c r="I9" s="708"/>
    </row>
    <row r="10" spans="2:9" x14ac:dyDescent="0.2">
      <c r="B10" s="514" t="s">
        <v>382</v>
      </c>
      <c r="C10" s="515">
        <v>31</v>
      </c>
      <c r="D10" s="516">
        <v>2</v>
      </c>
      <c r="E10" s="516">
        <v>4</v>
      </c>
      <c r="F10" s="517">
        <v>8</v>
      </c>
      <c r="G10" s="517">
        <v>6</v>
      </c>
      <c r="H10" s="517">
        <v>6</v>
      </c>
      <c r="I10" s="518">
        <f t="shared" ref="I10:I20" si="0">SUM(C10:H10)</f>
        <v>57</v>
      </c>
    </row>
    <row r="11" spans="2:9" x14ac:dyDescent="0.2">
      <c r="B11" s="514" t="s">
        <v>383</v>
      </c>
      <c r="C11" s="515">
        <v>48</v>
      </c>
      <c r="D11" s="516">
        <v>3</v>
      </c>
      <c r="E11" s="516">
        <v>3</v>
      </c>
      <c r="F11" s="517">
        <v>10</v>
      </c>
      <c r="G11" s="517">
        <v>7</v>
      </c>
      <c r="H11" s="517">
        <v>12</v>
      </c>
      <c r="I11" s="518">
        <f t="shared" si="0"/>
        <v>83</v>
      </c>
    </row>
    <row r="12" spans="2:9" x14ac:dyDescent="0.2">
      <c r="B12" s="514" t="s">
        <v>384</v>
      </c>
      <c r="C12" s="515">
        <v>58</v>
      </c>
      <c r="D12" s="516">
        <v>2</v>
      </c>
      <c r="E12" s="516">
        <v>2</v>
      </c>
      <c r="F12" s="517">
        <v>14</v>
      </c>
      <c r="G12" s="517">
        <v>12</v>
      </c>
      <c r="H12" s="519">
        <v>0</v>
      </c>
      <c r="I12" s="518">
        <f t="shared" si="0"/>
        <v>88</v>
      </c>
    </row>
    <row r="13" spans="2:9" x14ac:dyDescent="0.2">
      <c r="B13" s="514" t="s">
        <v>385</v>
      </c>
      <c r="C13" s="515">
        <v>41</v>
      </c>
      <c r="D13" s="516">
        <v>2</v>
      </c>
      <c r="E13" s="516">
        <v>6</v>
      </c>
      <c r="F13" s="517">
        <v>10</v>
      </c>
      <c r="G13" s="519">
        <v>8</v>
      </c>
      <c r="H13" s="519">
        <v>8</v>
      </c>
      <c r="I13" s="518">
        <f t="shared" si="0"/>
        <v>75</v>
      </c>
    </row>
    <row r="14" spans="2:9" x14ac:dyDescent="0.2">
      <c r="B14" s="514" t="s">
        <v>386</v>
      </c>
      <c r="C14" s="515">
        <v>26</v>
      </c>
      <c r="D14" s="516">
        <v>2</v>
      </c>
      <c r="E14" s="516">
        <v>5</v>
      </c>
      <c r="F14" s="517">
        <v>6</v>
      </c>
      <c r="G14" s="519">
        <v>7</v>
      </c>
      <c r="H14" s="519">
        <v>8</v>
      </c>
      <c r="I14" s="518">
        <f t="shared" si="0"/>
        <v>54</v>
      </c>
    </row>
    <row r="15" spans="2:9" x14ac:dyDescent="0.2">
      <c r="B15" s="514" t="s">
        <v>387</v>
      </c>
      <c r="C15" s="515">
        <v>51</v>
      </c>
      <c r="D15" s="516">
        <v>2</v>
      </c>
      <c r="E15" s="516">
        <v>5</v>
      </c>
      <c r="F15" s="517">
        <v>9</v>
      </c>
      <c r="G15" s="519">
        <v>13</v>
      </c>
      <c r="H15" s="519">
        <v>12</v>
      </c>
      <c r="I15" s="518">
        <f t="shared" si="0"/>
        <v>92</v>
      </c>
    </row>
    <row r="16" spans="2:9" x14ac:dyDescent="0.2">
      <c r="B16" s="514" t="s">
        <v>388</v>
      </c>
      <c r="C16" s="515">
        <v>18</v>
      </c>
      <c r="D16" s="516">
        <v>2</v>
      </c>
      <c r="E16" s="516">
        <v>1</v>
      </c>
      <c r="F16" s="517">
        <v>3</v>
      </c>
      <c r="G16" s="519">
        <v>6</v>
      </c>
      <c r="H16" s="519">
        <v>6</v>
      </c>
      <c r="I16" s="518">
        <f t="shared" si="0"/>
        <v>36</v>
      </c>
    </row>
    <row r="17" spans="2:12" x14ac:dyDescent="0.2">
      <c r="B17" s="514" t="s">
        <v>389</v>
      </c>
      <c r="C17" s="515">
        <v>59</v>
      </c>
      <c r="D17" s="516">
        <v>3</v>
      </c>
      <c r="E17" s="516">
        <v>8</v>
      </c>
      <c r="F17" s="517">
        <v>12</v>
      </c>
      <c r="G17" s="519">
        <v>12</v>
      </c>
      <c r="H17" s="519">
        <v>9</v>
      </c>
      <c r="I17" s="518">
        <f t="shared" si="0"/>
        <v>103</v>
      </c>
    </row>
    <row r="18" spans="2:12" x14ac:dyDescent="0.2">
      <c r="B18" s="514" t="s">
        <v>390</v>
      </c>
      <c r="C18" s="515">
        <v>3</v>
      </c>
      <c r="D18" s="516">
        <v>0</v>
      </c>
      <c r="E18" s="516">
        <v>0</v>
      </c>
      <c r="F18" s="517">
        <v>1</v>
      </c>
      <c r="G18" s="519">
        <v>1</v>
      </c>
      <c r="H18" s="519">
        <v>0</v>
      </c>
      <c r="I18" s="518">
        <f t="shared" si="0"/>
        <v>5</v>
      </c>
      <c r="J18" s="512"/>
      <c r="K18" s="512"/>
      <c r="L18" s="512"/>
    </row>
    <row r="19" spans="2:12" ht="16.5" customHeight="1" x14ac:dyDescent="0.2">
      <c r="B19" s="514" t="s">
        <v>391</v>
      </c>
      <c r="C19" s="515">
        <v>50</v>
      </c>
      <c r="D19" s="516">
        <v>0</v>
      </c>
      <c r="E19" s="516">
        <v>0</v>
      </c>
      <c r="F19" s="517">
        <v>0</v>
      </c>
      <c r="G19" s="519">
        <v>9</v>
      </c>
      <c r="H19" s="519">
        <v>0</v>
      </c>
      <c r="I19" s="518">
        <f t="shared" si="0"/>
        <v>59</v>
      </c>
      <c r="J19" s="512"/>
      <c r="K19" s="512"/>
      <c r="L19" s="512"/>
    </row>
    <row r="20" spans="2:12" x14ac:dyDescent="0.2">
      <c r="B20" s="514" t="s">
        <v>392</v>
      </c>
      <c r="C20" s="515">
        <v>6</v>
      </c>
      <c r="D20" s="516">
        <v>0</v>
      </c>
      <c r="E20" s="516">
        <v>0</v>
      </c>
      <c r="F20" s="517">
        <v>0</v>
      </c>
      <c r="G20" s="519">
        <v>2</v>
      </c>
      <c r="H20" s="519">
        <v>0</v>
      </c>
      <c r="I20" s="518">
        <f t="shared" si="0"/>
        <v>8</v>
      </c>
      <c r="J20" s="520"/>
      <c r="K20" s="512"/>
      <c r="L20" s="512"/>
    </row>
    <row r="21" spans="2:12" x14ac:dyDescent="0.2">
      <c r="B21" s="521" t="s">
        <v>127</v>
      </c>
      <c r="C21" s="522">
        <f t="shared" ref="C21:I21" si="1">SUM(C10:C20)</f>
        <v>391</v>
      </c>
      <c r="D21" s="522">
        <f t="shared" si="1"/>
        <v>18</v>
      </c>
      <c r="E21" s="523">
        <f t="shared" si="1"/>
        <v>34</v>
      </c>
      <c r="F21" s="522">
        <f t="shared" si="1"/>
        <v>73</v>
      </c>
      <c r="G21" s="522">
        <f t="shared" si="1"/>
        <v>83</v>
      </c>
      <c r="H21" s="522">
        <f t="shared" si="1"/>
        <v>61</v>
      </c>
      <c r="I21" s="522">
        <f t="shared" si="1"/>
        <v>660</v>
      </c>
      <c r="J21" s="512"/>
      <c r="K21" s="512"/>
      <c r="L21" s="512"/>
    </row>
    <row r="22" spans="2:12" x14ac:dyDescent="0.2">
      <c r="B22" s="512"/>
      <c r="C22" s="512"/>
      <c r="D22" s="512"/>
      <c r="E22" s="512"/>
      <c r="F22" s="512"/>
      <c r="G22" s="512"/>
      <c r="H22" s="512"/>
      <c r="I22" s="524"/>
      <c r="J22" s="512"/>
      <c r="K22" s="512"/>
      <c r="L22" s="512"/>
    </row>
    <row r="29" spans="2:12" x14ac:dyDescent="0.2"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703"/>
    </row>
    <row r="30" spans="2:12" x14ac:dyDescent="0.2">
      <c r="B30" s="512"/>
      <c r="C30" s="512"/>
      <c r="D30" s="512"/>
      <c r="E30" s="512"/>
      <c r="F30" s="512"/>
      <c r="G30" s="512"/>
      <c r="H30" s="512"/>
      <c r="I30" s="512"/>
      <c r="J30" s="512"/>
      <c r="K30" s="512"/>
      <c r="L30" s="703"/>
    </row>
    <row r="31" spans="2:12" x14ac:dyDescent="0.2">
      <c r="B31" s="512"/>
      <c r="C31" s="512"/>
      <c r="D31" s="512"/>
      <c r="E31" s="512"/>
      <c r="F31" s="512"/>
      <c r="G31" s="512"/>
      <c r="H31" s="512"/>
      <c r="I31" s="512"/>
      <c r="J31" s="512"/>
      <c r="K31" s="512"/>
      <c r="L31" s="703"/>
    </row>
    <row r="32" spans="2:12" x14ac:dyDescent="0.2">
      <c r="B32" s="512"/>
      <c r="C32" s="512"/>
      <c r="D32" s="512"/>
      <c r="E32" s="512"/>
      <c r="F32" s="512"/>
      <c r="G32" s="512"/>
      <c r="H32" s="512"/>
      <c r="I32" s="512"/>
      <c r="J32" s="512"/>
      <c r="K32" s="512"/>
      <c r="L32" s="703"/>
    </row>
    <row r="33" spans="2:12" x14ac:dyDescent="0.2"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703"/>
    </row>
  </sheetData>
  <mergeCells count="10">
    <mergeCell ref="L29:L33"/>
    <mergeCell ref="B4:I4"/>
    <mergeCell ref="B7:B9"/>
    <mergeCell ref="C7:C9"/>
    <mergeCell ref="D7:D9"/>
    <mergeCell ref="E7:E9"/>
    <mergeCell ref="F7:F9"/>
    <mergeCell ref="G7:G9"/>
    <mergeCell ref="H7:H9"/>
    <mergeCell ref="I7:I9"/>
  </mergeCells>
  <pageMargins left="0.51181102362204722" right="0.11811023622047245" top="0.74803149606299213" bottom="0.74803149606299213" header="0.31496062992125984" footer="0.31496062992125984"/>
  <pageSetup paperSize="9" scale="90"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M21"/>
  <sheetViews>
    <sheetView workbookViewId="0"/>
  </sheetViews>
  <sheetFormatPr defaultRowHeight="14.25" x14ac:dyDescent="0.2"/>
  <cols>
    <col min="1" max="1" width="9.140625" style="1" customWidth="1"/>
    <col min="2" max="2" width="3.42578125" style="2" customWidth="1"/>
    <col min="3" max="3" width="56.7109375" style="1" customWidth="1"/>
    <col min="4" max="4" width="15.85546875" style="306" customWidth="1"/>
    <col min="5" max="5" width="9.140625" style="1" customWidth="1"/>
    <col min="6" max="6" width="13" style="1" customWidth="1"/>
    <col min="7" max="7" width="11.7109375" style="1" customWidth="1"/>
    <col min="8" max="8" width="11.85546875" style="1" customWidth="1"/>
    <col min="9" max="9" width="12.42578125" style="1" customWidth="1"/>
    <col min="10" max="10" width="9.140625" style="1" customWidth="1"/>
    <col min="11" max="16384" width="9.140625" style="1"/>
  </cols>
  <sheetData>
    <row r="2" spans="2:13" x14ac:dyDescent="0.2">
      <c r="D2" s="306" t="s">
        <v>413</v>
      </c>
    </row>
    <row r="4" spans="2:13" ht="15" x14ac:dyDescent="0.25">
      <c r="B4" s="709" t="s">
        <v>414</v>
      </c>
      <c r="C4" s="709"/>
      <c r="D4" s="709"/>
    </row>
    <row r="5" spans="2:13" ht="15" x14ac:dyDescent="0.25">
      <c r="B5" s="134"/>
      <c r="C5" s="25"/>
      <c r="D5" s="542" t="s">
        <v>415</v>
      </c>
      <c r="M5" s="481"/>
    </row>
    <row r="6" spans="2:13" x14ac:dyDescent="0.2">
      <c r="B6" s="134">
        <v>1</v>
      </c>
      <c r="C6" s="185" t="s">
        <v>416</v>
      </c>
      <c r="D6" s="543">
        <v>38353</v>
      </c>
    </row>
    <row r="7" spans="2:13" x14ac:dyDescent="0.2">
      <c r="B7" s="134">
        <v>2</v>
      </c>
      <c r="C7" s="185" t="s">
        <v>417</v>
      </c>
      <c r="D7" s="543">
        <v>37257</v>
      </c>
      <c r="F7" s="544"/>
    </row>
    <row r="8" spans="2:13" x14ac:dyDescent="0.2">
      <c r="B8" s="134">
        <v>3</v>
      </c>
      <c r="C8" s="185" t="s">
        <v>418</v>
      </c>
      <c r="D8" s="543">
        <v>37438</v>
      </c>
    </row>
    <row r="9" spans="2:13" x14ac:dyDescent="0.2">
      <c r="B9" s="134">
        <v>4</v>
      </c>
      <c r="C9" s="185" t="s">
        <v>419</v>
      </c>
      <c r="D9" s="543">
        <v>37438</v>
      </c>
    </row>
    <row r="10" spans="2:13" x14ac:dyDescent="0.2">
      <c r="B10" s="134">
        <v>5</v>
      </c>
      <c r="C10" s="185" t="s">
        <v>420</v>
      </c>
      <c r="D10" s="543">
        <v>37438</v>
      </c>
      <c r="F10" s="544"/>
    </row>
    <row r="11" spans="2:13" x14ac:dyDescent="0.2">
      <c r="B11" s="134">
        <v>6</v>
      </c>
      <c r="C11" s="185" t="s">
        <v>421</v>
      </c>
      <c r="D11" s="543">
        <v>37438</v>
      </c>
      <c r="F11" s="544"/>
    </row>
    <row r="12" spans="2:13" x14ac:dyDescent="0.2">
      <c r="B12" s="134">
        <v>7</v>
      </c>
      <c r="C12" s="185" t="s">
        <v>422</v>
      </c>
      <c r="D12" s="543">
        <v>37438</v>
      </c>
      <c r="H12" s="544"/>
    </row>
    <row r="13" spans="2:13" x14ac:dyDescent="0.2">
      <c r="B13" s="134">
        <v>8</v>
      </c>
      <c r="C13" s="185" t="s">
        <v>423</v>
      </c>
      <c r="D13" s="543">
        <v>37438</v>
      </c>
      <c r="H13" s="544"/>
    </row>
    <row r="14" spans="2:13" x14ac:dyDescent="0.2">
      <c r="B14" s="134">
        <v>9</v>
      </c>
      <c r="C14" s="185" t="s">
        <v>424</v>
      </c>
      <c r="D14" s="543">
        <v>37438</v>
      </c>
      <c r="H14" s="544"/>
    </row>
    <row r="15" spans="2:13" x14ac:dyDescent="0.2">
      <c r="B15" s="134">
        <v>10</v>
      </c>
      <c r="C15" s="185" t="s">
        <v>425</v>
      </c>
      <c r="D15" s="543">
        <v>37438</v>
      </c>
      <c r="F15" s="544"/>
    </row>
    <row r="16" spans="2:13" x14ac:dyDescent="0.2">
      <c r="B16" s="134">
        <v>11</v>
      </c>
      <c r="C16" s="185" t="s">
        <v>426</v>
      </c>
      <c r="D16" s="543">
        <v>37438</v>
      </c>
      <c r="H16" s="544"/>
    </row>
    <row r="17" spans="2:9" x14ac:dyDescent="0.2">
      <c r="B17" s="134">
        <v>12</v>
      </c>
      <c r="C17" s="185" t="s">
        <v>427</v>
      </c>
      <c r="D17" s="543">
        <v>37438</v>
      </c>
      <c r="G17" s="544"/>
    </row>
    <row r="18" spans="2:9" x14ac:dyDescent="0.2">
      <c r="B18" s="134">
        <v>13</v>
      </c>
      <c r="C18" s="185" t="s">
        <v>428</v>
      </c>
      <c r="D18" s="543">
        <v>37438</v>
      </c>
      <c r="I18" s="544"/>
    </row>
    <row r="19" spans="2:9" x14ac:dyDescent="0.2">
      <c r="B19" s="134">
        <v>14</v>
      </c>
      <c r="C19" s="185" t="s">
        <v>429</v>
      </c>
      <c r="D19" s="543">
        <v>41640</v>
      </c>
      <c r="H19" s="544"/>
    </row>
    <row r="20" spans="2:9" x14ac:dyDescent="0.2">
      <c r="B20" s="134"/>
      <c r="C20" s="545"/>
      <c r="D20" s="542"/>
      <c r="H20" s="544"/>
    </row>
    <row r="21" spans="2:9" x14ac:dyDescent="0.2">
      <c r="B21" s="546"/>
      <c r="C21" s="547" t="s">
        <v>619</v>
      </c>
      <c r="D21" s="548"/>
      <c r="H21" s="544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D2:F31"/>
  <sheetViews>
    <sheetView workbookViewId="0"/>
  </sheetViews>
  <sheetFormatPr defaultRowHeight="14.25" x14ac:dyDescent="0.2"/>
  <cols>
    <col min="1" max="2" width="9.140625" style="1" customWidth="1"/>
    <col min="3" max="4" width="9.140625" style="1"/>
    <col min="5" max="5" width="62" style="1" customWidth="1"/>
    <col min="6" max="6" width="14.28515625" style="1" customWidth="1"/>
    <col min="7" max="7" width="13.42578125" style="1" customWidth="1"/>
    <col min="8" max="16384" width="9.140625" style="1"/>
  </cols>
  <sheetData>
    <row r="2" spans="4:6" x14ac:dyDescent="0.2">
      <c r="F2" s="261" t="s">
        <v>430</v>
      </c>
    </row>
    <row r="3" spans="4:6" ht="37.5" customHeight="1" x14ac:dyDescent="0.2">
      <c r="D3" s="710" t="s">
        <v>986</v>
      </c>
      <c r="E3" s="710"/>
      <c r="F3" s="710"/>
    </row>
    <row r="4" spans="4:6" x14ac:dyDescent="0.2">
      <c r="D4" s="525"/>
      <c r="F4" s="306"/>
    </row>
    <row r="5" spans="4:6" ht="25.5" x14ac:dyDescent="0.2">
      <c r="D5" s="526" t="s">
        <v>431</v>
      </c>
      <c r="E5" s="527" t="s">
        <v>432</v>
      </c>
      <c r="F5" s="527" t="s">
        <v>985</v>
      </c>
    </row>
    <row r="6" spans="4:6" x14ac:dyDescent="0.2">
      <c r="D6" s="528">
        <v>1</v>
      </c>
      <c r="E6" s="529" t="s">
        <v>433</v>
      </c>
      <c r="F6" s="530">
        <f>F7+F8+F9+F10</f>
        <v>91959223</v>
      </c>
    </row>
    <row r="7" spans="4:6" x14ac:dyDescent="0.2">
      <c r="D7" s="134">
        <v>2</v>
      </c>
      <c r="E7" s="531" t="s">
        <v>434</v>
      </c>
      <c r="F7" s="136">
        <v>37733455</v>
      </c>
    </row>
    <row r="8" spans="4:6" x14ac:dyDescent="0.2">
      <c r="D8" s="134">
        <v>3</v>
      </c>
      <c r="E8" s="531" t="s">
        <v>435</v>
      </c>
      <c r="F8" s="136">
        <v>15525283</v>
      </c>
    </row>
    <row r="9" spans="4:6" x14ac:dyDescent="0.2">
      <c r="D9" s="134">
        <v>4</v>
      </c>
      <c r="E9" s="531" t="s">
        <v>436</v>
      </c>
      <c r="F9" s="136">
        <v>30266757</v>
      </c>
    </row>
    <row r="10" spans="4:6" x14ac:dyDescent="0.2">
      <c r="D10" s="134">
        <v>5</v>
      </c>
      <c r="E10" s="531" t="s">
        <v>437</v>
      </c>
      <c r="F10" s="136">
        <f>F11+F12</f>
        <v>8433728</v>
      </c>
    </row>
    <row r="11" spans="4:6" x14ac:dyDescent="0.2">
      <c r="D11" s="134">
        <v>6</v>
      </c>
      <c r="E11" s="531" t="s">
        <v>438</v>
      </c>
      <c r="F11" s="136">
        <v>6079897</v>
      </c>
    </row>
    <row r="12" spans="4:6" x14ac:dyDescent="0.2">
      <c r="D12" s="134">
        <v>7</v>
      </c>
      <c r="E12" s="531" t="s">
        <v>439</v>
      </c>
      <c r="F12" s="136">
        <v>2353831</v>
      </c>
    </row>
    <row r="13" spans="4:6" x14ac:dyDescent="0.2">
      <c r="D13" s="528">
        <v>8</v>
      </c>
      <c r="E13" s="529" t="s">
        <v>440</v>
      </c>
      <c r="F13" s="530">
        <f>F14+F15+F16</f>
        <v>86688723</v>
      </c>
    </row>
    <row r="14" spans="4:6" x14ac:dyDescent="0.2">
      <c r="D14" s="134">
        <v>9</v>
      </c>
      <c r="E14" s="531" t="s">
        <v>441</v>
      </c>
      <c r="F14" s="136">
        <v>61816749</v>
      </c>
    </row>
    <row r="15" spans="4:6" x14ac:dyDescent="0.2">
      <c r="D15" s="134">
        <v>10</v>
      </c>
      <c r="E15" s="531" t="s">
        <v>442</v>
      </c>
      <c r="F15" s="136">
        <v>17482942</v>
      </c>
    </row>
    <row r="16" spans="4:6" x14ac:dyDescent="0.2">
      <c r="D16" s="134">
        <v>11</v>
      </c>
      <c r="E16" s="531" t="s">
        <v>443</v>
      </c>
      <c r="F16" s="136">
        <v>7389032</v>
      </c>
    </row>
    <row r="17" spans="4:6" x14ac:dyDescent="0.2">
      <c r="D17" s="532">
        <v>12</v>
      </c>
      <c r="E17" s="533" t="s">
        <v>444</v>
      </c>
      <c r="F17" s="534">
        <f>F6-F13</f>
        <v>5270500</v>
      </c>
    </row>
    <row r="18" spans="4:6" ht="25.5" x14ac:dyDescent="0.2">
      <c r="D18" s="532">
        <v>13</v>
      </c>
      <c r="E18" s="535" t="s">
        <v>445</v>
      </c>
      <c r="F18" s="534">
        <f>F6-F10-F13+F16</f>
        <v>4225804</v>
      </c>
    </row>
    <row r="19" spans="4:6" x14ac:dyDescent="0.2">
      <c r="D19" s="134"/>
      <c r="E19" s="536"/>
      <c r="F19" s="537"/>
    </row>
    <row r="20" spans="4:6" x14ac:dyDescent="0.2">
      <c r="D20" s="528">
        <v>14</v>
      </c>
      <c r="E20" s="538" t="s">
        <v>446</v>
      </c>
      <c r="F20" s="539">
        <f>F21-F22</f>
        <v>4706903</v>
      </c>
    </row>
    <row r="21" spans="4:6" x14ac:dyDescent="0.2">
      <c r="D21" s="134">
        <v>15</v>
      </c>
      <c r="E21" s="531" t="s">
        <v>987</v>
      </c>
      <c r="F21" s="136">
        <v>5953782</v>
      </c>
    </row>
    <row r="22" spans="4:6" x14ac:dyDescent="0.2">
      <c r="D22" s="134">
        <v>16</v>
      </c>
      <c r="E22" s="531" t="s">
        <v>988</v>
      </c>
      <c r="F22" s="136">
        <v>1246879</v>
      </c>
    </row>
    <row r="23" spans="4:6" x14ac:dyDescent="0.2">
      <c r="D23" s="528">
        <v>17</v>
      </c>
      <c r="E23" s="538" t="s">
        <v>447</v>
      </c>
      <c r="F23" s="539">
        <f>F25-F24</f>
        <v>2072951</v>
      </c>
    </row>
    <row r="24" spans="4:6" x14ac:dyDescent="0.2">
      <c r="D24" s="134">
        <v>18</v>
      </c>
      <c r="E24" s="531" t="s">
        <v>989</v>
      </c>
      <c r="F24" s="136">
        <v>2300618</v>
      </c>
    </row>
    <row r="25" spans="4:6" x14ac:dyDescent="0.2">
      <c r="D25" s="134">
        <v>19</v>
      </c>
      <c r="E25" s="531" t="s">
        <v>990</v>
      </c>
      <c r="F25" s="136">
        <v>4373569</v>
      </c>
    </row>
    <row r="26" spans="4:6" x14ac:dyDescent="0.2">
      <c r="D26" s="528">
        <v>20</v>
      </c>
      <c r="E26" s="529" t="s">
        <v>448</v>
      </c>
      <c r="F26" s="530">
        <f>F20+F23</f>
        <v>6779854</v>
      </c>
    </row>
    <row r="27" spans="4:6" ht="15" x14ac:dyDescent="0.2">
      <c r="D27" s="540">
        <v>21</v>
      </c>
      <c r="E27" s="540" t="s">
        <v>449</v>
      </c>
      <c r="F27" s="541">
        <f>F18+F26</f>
        <v>11005658</v>
      </c>
    </row>
    <row r="29" spans="4:6" ht="48" customHeight="1" x14ac:dyDescent="0.2">
      <c r="D29" s="711" t="s">
        <v>450</v>
      </c>
      <c r="E29" s="711"/>
      <c r="F29" s="711"/>
    </row>
    <row r="30" spans="4:6" ht="107.25" customHeight="1" x14ac:dyDescent="0.2">
      <c r="D30" s="711" t="s">
        <v>451</v>
      </c>
      <c r="E30" s="711"/>
      <c r="F30" s="711"/>
    </row>
    <row r="31" spans="4:6" ht="29.25" customHeight="1" x14ac:dyDescent="0.2">
      <c r="D31" s="711" t="s">
        <v>452</v>
      </c>
      <c r="E31" s="711"/>
      <c r="F31" s="711"/>
    </row>
  </sheetData>
  <mergeCells count="4">
    <mergeCell ref="D3:F3"/>
    <mergeCell ref="D29:F29"/>
    <mergeCell ref="D30:F30"/>
    <mergeCell ref="D31:F31"/>
  </mergeCells>
  <phoneticPr fontId="22" type="noConversion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L76"/>
  <sheetViews>
    <sheetView workbookViewId="0"/>
  </sheetViews>
  <sheetFormatPr defaultRowHeight="14.25" x14ac:dyDescent="0.2"/>
  <cols>
    <col min="1" max="1" width="9.140625" style="1" customWidth="1"/>
    <col min="2" max="2" width="22.7109375" style="1" customWidth="1"/>
    <col min="3" max="3" width="12.42578125" style="1" customWidth="1"/>
    <col min="4" max="4" width="13.28515625" style="1" customWidth="1"/>
    <col min="5" max="5" width="13.5703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x14ac:dyDescent="0.2">
      <c r="G2" s="35" t="s">
        <v>68</v>
      </c>
    </row>
    <row r="3" spans="2:11" ht="23.25" customHeight="1" x14ac:dyDescent="0.2">
      <c r="B3" s="568" t="s">
        <v>69</v>
      </c>
      <c r="C3" s="568"/>
      <c r="D3" s="568"/>
      <c r="E3" s="568"/>
      <c r="F3" s="568"/>
      <c r="G3" s="568"/>
      <c r="H3" s="14"/>
      <c r="I3" s="14"/>
      <c r="J3" s="14"/>
      <c r="K3" s="14"/>
    </row>
    <row r="4" spans="2:11" ht="21.75" customHeight="1" x14ac:dyDescent="0.2"/>
    <row r="5" spans="2:11" s="15" customFormat="1" ht="18.75" customHeight="1" x14ac:dyDescent="0.2">
      <c r="B5" s="569" t="s">
        <v>70</v>
      </c>
      <c r="C5" s="569"/>
      <c r="D5" s="569"/>
      <c r="E5" s="183">
        <f>E6+E13+E17+E19+E24+E30+E22+E12+E21</f>
        <v>1476335.55</v>
      </c>
      <c r="F5" s="35"/>
      <c r="G5" s="99"/>
    </row>
    <row r="6" spans="2:11" x14ac:dyDescent="0.2">
      <c r="B6" s="564" t="s">
        <v>71</v>
      </c>
      <c r="C6" s="564"/>
      <c r="D6" s="564"/>
      <c r="E6" s="184">
        <f>SUM(E7:E11)</f>
        <v>109355.25</v>
      </c>
      <c r="F6" s="35"/>
      <c r="G6" s="35"/>
    </row>
    <row r="7" spans="2:11" x14ac:dyDescent="0.2">
      <c r="B7" s="562" t="s">
        <v>466</v>
      </c>
      <c r="C7" s="562"/>
      <c r="D7" s="562"/>
      <c r="E7" s="48">
        <v>19285.400000000001</v>
      </c>
      <c r="F7" s="35"/>
      <c r="G7" s="35"/>
    </row>
    <row r="8" spans="2:11" x14ac:dyDescent="0.2">
      <c r="B8" s="562" t="s">
        <v>72</v>
      </c>
      <c r="C8" s="562"/>
      <c r="D8" s="562"/>
      <c r="E8" s="48">
        <v>66919.100000000006</v>
      </c>
      <c r="F8" s="35"/>
      <c r="G8" s="35"/>
    </row>
    <row r="9" spans="2:11" x14ac:dyDescent="0.2">
      <c r="B9" s="562" t="s">
        <v>73</v>
      </c>
      <c r="C9" s="562"/>
      <c r="D9" s="562"/>
      <c r="E9" s="48">
        <v>7316</v>
      </c>
      <c r="F9" s="35"/>
      <c r="G9" s="35"/>
    </row>
    <row r="10" spans="2:11" x14ac:dyDescent="0.2">
      <c r="B10" s="562" t="s">
        <v>74</v>
      </c>
      <c r="C10" s="562"/>
      <c r="D10" s="562"/>
      <c r="E10" s="48">
        <v>14680.65</v>
      </c>
      <c r="F10" s="35"/>
      <c r="G10" s="35"/>
    </row>
    <row r="11" spans="2:11" x14ac:dyDescent="0.2">
      <c r="B11" s="562" t="s">
        <v>75</v>
      </c>
      <c r="C11" s="562"/>
      <c r="D11" s="562"/>
      <c r="E11" s="48">
        <v>1154.0999999999999</v>
      </c>
      <c r="F11" s="35"/>
      <c r="G11" s="35"/>
    </row>
    <row r="12" spans="2:11" x14ac:dyDescent="0.2">
      <c r="B12" s="564" t="s">
        <v>559</v>
      </c>
      <c r="C12" s="564"/>
      <c r="D12" s="564"/>
      <c r="E12" s="184">
        <v>3605</v>
      </c>
      <c r="F12" s="35"/>
      <c r="G12" s="35"/>
    </row>
    <row r="13" spans="2:11" x14ac:dyDescent="0.2">
      <c r="B13" s="564" t="s">
        <v>76</v>
      </c>
      <c r="C13" s="564"/>
      <c r="D13" s="564"/>
      <c r="E13" s="184">
        <f>SUM(E14:E16)</f>
        <v>571928.78</v>
      </c>
      <c r="F13" s="35"/>
      <c r="G13" s="35"/>
    </row>
    <row r="14" spans="2:11" x14ac:dyDescent="0.2">
      <c r="B14" s="562" t="s">
        <v>77</v>
      </c>
      <c r="C14" s="562"/>
      <c r="D14" s="562"/>
      <c r="E14" s="48">
        <f>333943.86-E16</f>
        <v>333596.37</v>
      </c>
      <c r="F14" s="35"/>
      <c r="G14" s="35"/>
    </row>
    <row r="15" spans="2:11" x14ac:dyDescent="0.2">
      <c r="B15" s="562" t="s">
        <v>78</v>
      </c>
      <c r="C15" s="562"/>
      <c r="D15" s="562"/>
      <c r="E15" s="48">
        <v>237984.92</v>
      </c>
      <c r="F15" s="35"/>
      <c r="G15" s="35"/>
    </row>
    <row r="16" spans="2:11" x14ac:dyDescent="0.2">
      <c r="B16" s="562" t="s">
        <v>79</v>
      </c>
      <c r="C16" s="562"/>
      <c r="D16" s="562"/>
      <c r="E16" s="48">
        <v>347.49</v>
      </c>
      <c r="F16" s="35"/>
      <c r="G16" s="35"/>
    </row>
    <row r="17" spans="2:7" x14ac:dyDescent="0.2">
      <c r="B17" s="564" t="s">
        <v>80</v>
      </c>
      <c r="C17" s="564"/>
      <c r="D17" s="564"/>
      <c r="E17" s="184">
        <f>E18</f>
        <v>173792.67</v>
      </c>
      <c r="F17" s="35"/>
      <c r="G17" s="35"/>
    </row>
    <row r="18" spans="2:7" ht="31.5" customHeight="1" x14ac:dyDescent="0.2">
      <c r="B18" s="562" t="s">
        <v>81</v>
      </c>
      <c r="C18" s="562"/>
      <c r="D18" s="562"/>
      <c r="E18" s="136">
        <v>173792.67</v>
      </c>
      <c r="F18" s="35"/>
      <c r="G18" s="35"/>
    </row>
    <row r="19" spans="2:7" x14ac:dyDescent="0.2">
      <c r="B19" s="564" t="s">
        <v>82</v>
      </c>
      <c r="C19" s="564"/>
      <c r="D19" s="564"/>
      <c r="E19" s="184">
        <f>E20</f>
        <v>2891.4</v>
      </c>
      <c r="F19" s="35"/>
      <c r="G19" s="35"/>
    </row>
    <row r="20" spans="2:7" x14ac:dyDescent="0.2">
      <c r="B20" s="565" t="s">
        <v>83</v>
      </c>
      <c r="C20" s="565"/>
      <c r="D20" s="565"/>
      <c r="E20" s="48">
        <v>2891.4</v>
      </c>
      <c r="F20" s="35"/>
      <c r="G20" s="35"/>
    </row>
    <row r="21" spans="2:7" x14ac:dyDescent="0.2">
      <c r="B21" s="564" t="s">
        <v>631</v>
      </c>
      <c r="C21" s="564"/>
      <c r="D21" s="564"/>
      <c r="E21" s="184">
        <v>12969.4</v>
      </c>
      <c r="F21" s="35"/>
      <c r="G21" s="35"/>
    </row>
    <row r="22" spans="2:7" x14ac:dyDescent="0.2">
      <c r="B22" s="564" t="s">
        <v>84</v>
      </c>
      <c r="C22" s="564"/>
      <c r="D22" s="564"/>
      <c r="E22" s="184">
        <f>E23</f>
        <v>3109.3</v>
      </c>
      <c r="F22" s="35"/>
      <c r="G22" s="35"/>
    </row>
    <row r="23" spans="2:7" x14ac:dyDescent="0.2">
      <c r="B23" s="565" t="s">
        <v>85</v>
      </c>
      <c r="C23" s="565"/>
      <c r="D23" s="565"/>
      <c r="E23" s="48">
        <v>3109.3</v>
      </c>
      <c r="F23" s="35"/>
      <c r="G23" s="35"/>
    </row>
    <row r="24" spans="2:7" x14ac:dyDescent="0.2">
      <c r="B24" s="564" t="s">
        <v>86</v>
      </c>
      <c r="C24" s="564"/>
      <c r="D24" s="564"/>
      <c r="E24" s="184">
        <f>SUM(E25:E29)</f>
        <v>320826.92</v>
      </c>
      <c r="F24" s="35"/>
      <c r="G24" s="35"/>
    </row>
    <row r="25" spans="2:7" x14ac:dyDescent="0.2">
      <c r="B25" s="562" t="s">
        <v>87</v>
      </c>
      <c r="C25" s="562"/>
      <c r="D25" s="562"/>
      <c r="E25" s="48">
        <v>145340.71</v>
      </c>
      <c r="F25" s="35"/>
      <c r="G25" s="35"/>
    </row>
    <row r="26" spans="2:7" x14ac:dyDescent="0.2">
      <c r="B26" s="562" t="s">
        <v>88</v>
      </c>
      <c r="C26" s="562"/>
      <c r="D26" s="562"/>
      <c r="E26" s="48">
        <v>118758.55</v>
      </c>
      <c r="F26" s="35"/>
      <c r="G26" s="35"/>
    </row>
    <row r="27" spans="2:7" x14ac:dyDescent="0.2">
      <c r="B27" s="562" t="s">
        <v>467</v>
      </c>
      <c r="C27" s="562"/>
      <c r="D27" s="562"/>
      <c r="E27" s="48">
        <v>50308.31</v>
      </c>
      <c r="F27" s="35"/>
      <c r="G27" s="35"/>
    </row>
    <row r="28" spans="2:7" ht="15.75" customHeight="1" x14ac:dyDescent="0.2">
      <c r="B28" s="562" t="s">
        <v>630</v>
      </c>
      <c r="C28" s="562"/>
      <c r="D28" s="562"/>
      <c r="E28" s="48">
        <v>6379.93</v>
      </c>
      <c r="F28" s="35"/>
      <c r="G28" s="35"/>
    </row>
    <row r="29" spans="2:7" x14ac:dyDescent="0.2">
      <c r="B29" s="562" t="s">
        <v>89</v>
      </c>
      <c r="C29" s="562"/>
      <c r="D29" s="562"/>
      <c r="E29" s="48">
        <v>39.42</v>
      </c>
      <c r="F29" s="35"/>
      <c r="G29" s="35"/>
    </row>
    <row r="30" spans="2:7" x14ac:dyDescent="0.2">
      <c r="B30" s="564" t="s">
        <v>90</v>
      </c>
      <c r="C30" s="564"/>
      <c r="D30" s="564"/>
      <c r="E30" s="184">
        <f>SUM(E31:E37)</f>
        <v>277856.82999999996</v>
      </c>
      <c r="F30" s="35"/>
      <c r="G30" s="35"/>
    </row>
    <row r="31" spans="2:7" ht="14.25" customHeight="1" x14ac:dyDescent="0.2">
      <c r="B31" s="562" t="s">
        <v>51</v>
      </c>
      <c r="C31" s="562"/>
      <c r="D31" s="562"/>
      <c r="E31" s="48">
        <v>1.95</v>
      </c>
      <c r="F31" s="35"/>
      <c r="G31" s="35"/>
    </row>
    <row r="32" spans="2:7" x14ac:dyDescent="0.2">
      <c r="B32" s="562" t="s">
        <v>558</v>
      </c>
      <c r="C32" s="562"/>
      <c r="D32" s="562"/>
      <c r="E32" s="48">
        <v>6117.38</v>
      </c>
      <c r="F32" s="35"/>
      <c r="G32" s="35"/>
    </row>
    <row r="33" spans="2:12" x14ac:dyDescent="0.2">
      <c r="B33" s="567" t="s">
        <v>91</v>
      </c>
      <c r="C33" s="567"/>
      <c r="D33" s="567"/>
      <c r="E33" s="48">
        <v>2723.62</v>
      </c>
      <c r="F33" s="35"/>
      <c r="G33" s="35"/>
    </row>
    <row r="34" spans="2:12" x14ac:dyDescent="0.2">
      <c r="B34" s="567" t="s">
        <v>92</v>
      </c>
      <c r="C34" s="567"/>
      <c r="D34" s="567"/>
      <c r="E34" s="48">
        <v>5810</v>
      </c>
      <c r="F34" s="35"/>
      <c r="G34" s="35"/>
    </row>
    <row r="35" spans="2:12" x14ac:dyDescent="0.2">
      <c r="B35" s="563" t="s">
        <v>453</v>
      </c>
      <c r="C35" s="563"/>
      <c r="D35" s="563"/>
      <c r="E35" s="186">
        <f>204140.09+46979.31</f>
        <v>251119.4</v>
      </c>
      <c r="F35" s="35"/>
      <c r="G35" s="35"/>
    </row>
    <row r="36" spans="2:12" x14ac:dyDescent="0.2">
      <c r="B36" s="563" t="s">
        <v>93</v>
      </c>
      <c r="C36" s="563"/>
      <c r="D36" s="563"/>
      <c r="E36" s="186">
        <f>8984+3100.48</f>
        <v>12084.48</v>
      </c>
      <c r="F36" s="35"/>
      <c r="G36" s="99"/>
    </row>
    <row r="37" spans="2:12" x14ac:dyDescent="0.2">
      <c r="B37" s="566"/>
      <c r="C37" s="566"/>
      <c r="D37" s="566"/>
      <c r="E37" s="187"/>
      <c r="F37" s="35"/>
      <c r="G37" s="35"/>
    </row>
    <row r="38" spans="2:12" x14ac:dyDescent="0.2">
      <c r="B38" s="35"/>
      <c r="C38" s="35"/>
      <c r="D38" s="35"/>
      <c r="E38" s="35"/>
      <c r="F38" s="35"/>
      <c r="G38" s="35"/>
    </row>
    <row r="39" spans="2:12" x14ac:dyDescent="0.2">
      <c r="B39" s="35"/>
      <c r="C39" s="35"/>
      <c r="D39" s="35"/>
      <c r="E39" s="35"/>
      <c r="F39" s="35"/>
      <c r="G39" s="35"/>
    </row>
    <row r="40" spans="2:12" s="2" customFormat="1" ht="76.5" x14ac:dyDescent="0.25">
      <c r="B40" s="52" t="s">
        <v>52</v>
      </c>
      <c r="C40" s="37" t="s">
        <v>561</v>
      </c>
      <c r="D40" s="37" t="s">
        <v>530</v>
      </c>
      <c r="E40" s="37" t="s">
        <v>531</v>
      </c>
      <c r="F40" s="37" t="s">
        <v>532</v>
      </c>
      <c r="G40" s="37" t="s">
        <v>560</v>
      </c>
    </row>
    <row r="41" spans="2:12" ht="25.5" x14ac:dyDescent="0.2">
      <c r="B41" s="188" t="s">
        <v>53</v>
      </c>
      <c r="C41" s="189">
        <v>120439.1</v>
      </c>
      <c r="D41" s="189">
        <v>29985.18</v>
      </c>
      <c r="E41" s="189">
        <v>46067.99</v>
      </c>
      <c r="F41" s="189">
        <v>470423.24</v>
      </c>
      <c r="G41" s="189">
        <v>13368.66</v>
      </c>
    </row>
    <row r="42" spans="2:12" x14ac:dyDescent="0.2">
      <c r="B42" s="188" t="s">
        <v>54</v>
      </c>
      <c r="C42" s="189">
        <v>42787.59</v>
      </c>
      <c r="D42" s="189">
        <v>11145.45</v>
      </c>
      <c r="E42" s="189">
        <v>16677.419999999998</v>
      </c>
      <c r="F42" s="189">
        <v>170095.91</v>
      </c>
      <c r="G42" s="189">
        <v>5120.8999999999996</v>
      </c>
    </row>
    <row r="43" spans="2:12" x14ac:dyDescent="0.2">
      <c r="B43" s="188" t="s">
        <v>55</v>
      </c>
      <c r="C43" s="189">
        <f>SUM(C44:C50)</f>
        <v>102971.98000000001</v>
      </c>
      <c r="D43" s="189">
        <f>SUM(D44:D50)</f>
        <v>13427.2</v>
      </c>
      <c r="E43" s="189">
        <f>SUM(E44:E50)</f>
        <v>6967.33</v>
      </c>
      <c r="F43" s="189">
        <f>SUM(F44:F50)</f>
        <v>347044.53</v>
      </c>
      <c r="G43" s="189">
        <f>SUM(G44:G50)</f>
        <v>172.77</v>
      </c>
    </row>
    <row r="44" spans="2:12" x14ac:dyDescent="0.2">
      <c r="B44" s="57" t="s">
        <v>94</v>
      </c>
      <c r="C44" s="26">
        <v>0</v>
      </c>
      <c r="D44" s="26">
        <v>0</v>
      </c>
      <c r="E44" s="26">
        <v>64.599999999999994</v>
      </c>
      <c r="F44" s="26">
        <v>24.55</v>
      </c>
      <c r="G44" s="26">
        <v>0</v>
      </c>
    </row>
    <row r="45" spans="2:12" ht="25.5" x14ac:dyDescent="0.2">
      <c r="B45" s="57" t="s">
        <v>56</v>
      </c>
      <c r="C45" s="26">
        <v>32729.46</v>
      </c>
      <c r="D45" s="26">
        <v>5544.19</v>
      </c>
      <c r="E45" s="26">
        <v>1623.9</v>
      </c>
      <c r="F45" s="26">
        <v>98479.59</v>
      </c>
      <c r="G45" s="26">
        <v>0</v>
      </c>
    </row>
    <row r="46" spans="2:12" x14ac:dyDescent="0.2">
      <c r="B46" s="57" t="s">
        <v>57</v>
      </c>
      <c r="C46" s="26">
        <v>27605.61</v>
      </c>
      <c r="D46" s="26">
        <v>559.88</v>
      </c>
      <c r="E46" s="26">
        <v>3346.14</v>
      </c>
      <c r="F46" s="26">
        <v>32279.86</v>
      </c>
      <c r="G46" s="26">
        <v>0</v>
      </c>
    </row>
    <row r="47" spans="2:12" x14ac:dyDescent="0.2">
      <c r="B47" s="57" t="s">
        <v>58</v>
      </c>
      <c r="C47" s="26">
        <v>0</v>
      </c>
      <c r="D47" s="26">
        <v>1268.22</v>
      </c>
      <c r="E47" s="26">
        <v>0</v>
      </c>
      <c r="F47" s="26">
        <v>1280.3800000000001</v>
      </c>
      <c r="G47" s="26">
        <v>0</v>
      </c>
      <c r="L47" s="4"/>
    </row>
    <row r="48" spans="2:12" ht="24" customHeight="1" x14ac:dyDescent="0.2">
      <c r="B48" s="57" t="s">
        <v>59</v>
      </c>
      <c r="C48" s="26">
        <v>36348.839999999997</v>
      </c>
      <c r="D48" s="26">
        <v>123</v>
      </c>
      <c r="E48" s="26">
        <v>43</v>
      </c>
      <c r="F48" s="26">
        <v>4917.32</v>
      </c>
      <c r="G48" s="26">
        <v>0</v>
      </c>
    </row>
    <row r="49" spans="2:7" ht="15.75" customHeight="1" x14ac:dyDescent="0.2">
      <c r="B49" s="57" t="s">
        <v>60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</row>
    <row r="50" spans="2:7" x14ac:dyDescent="0.2">
      <c r="B50" s="57" t="s">
        <v>61</v>
      </c>
      <c r="C50" s="26">
        <f>5195.22+1092.85</f>
        <v>6288.07</v>
      </c>
      <c r="D50" s="26">
        <f>5656.91+275</f>
        <v>5931.91</v>
      </c>
      <c r="E50" s="26">
        <f>1614.69+275</f>
        <v>1889.69</v>
      </c>
      <c r="F50" s="26">
        <f>207781.12+2281.71</f>
        <v>210062.83</v>
      </c>
      <c r="G50" s="26">
        <v>172.77</v>
      </c>
    </row>
    <row r="51" spans="2:7" x14ac:dyDescent="0.2">
      <c r="B51" s="190" t="s">
        <v>62</v>
      </c>
      <c r="C51" s="191">
        <v>1322.66</v>
      </c>
      <c r="D51" s="191">
        <v>1660.15</v>
      </c>
      <c r="E51" s="191">
        <v>5172.79</v>
      </c>
      <c r="F51" s="191">
        <v>23865.21</v>
      </c>
      <c r="G51" s="191">
        <v>741.94</v>
      </c>
    </row>
    <row r="52" spans="2:7" x14ac:dyDescent="0.2">
      <c r="B52" s="63" t="s">
        <v>95</v>
      </c>
      <c r="C52" s="65">
        <f>C41+C42+C43+C51</f>
        <v>267521.33</v>
      </c>
      <c r="D52" s="65">
        <f>D41+D42+D43+D51</f>
        <v>56217.98</v>
      </c>
      <c r="E52" s="65">
        <f>E41+E42+E43+E51</f>
        <v>74885.529999999984</v>
      </c>
      <c r="F52" s="65">
        <f>F41+F42+F43+F51</f>
        <v>1011428.89</v>
      </c>
      <c r="G52" s="65">
        <f>G41+G42+G43+G51</f>
        <v>19404.269999999997</v>
      </c>
    </row>
    <row r="53" spans="2:7" x14ac:dyDescent="0.2">
      <c r="B53" s="63" t="s">
        <v>97</v>
      </c>
      <c r="C53" s="65">
        <v>1999</v>
      </c>
      <c r="D53" s="65">
        <v>0</v>
      </c>
      <c r="E53" s="65">
        <v>0</v>
      </c>
      <c r="F53" s="65">
        <f>4397.12+19425.3+21823.46</f>
        <v>45645.88</v>
      </c>
      <c r="G53" s="65">
        <v>0</v>
      </c>
    </row>
    <row r="54" spans="2:7" ht="23.25" customHeight="1" x14ac:dyDescent="0.2">
      <c r="B54" s="35"/>
      <c r="C54" s="35"/>
      <c r="D54" s="35"/>
      <c r="E54" s="35"/>
      <c r="F54" s="35"/>
      <c r="G54" s="35"/>
    </row>
    <row r="55" spans="2:7" ht="23.25" customHeight="1" x14ac:dyDescent="0.2">
      <c r="B55" s="35"/>
      <c r="C55" s="35"/>
      <c r="D55" s="35"/>
      <c r="E55" s="35"/>
      <c r="F55" s="35"/>
      <c r="G55" s="35"/>
    </row>
    <row r="56" spans="2:7" ht="63.75" x14ac:dyDescent="0.2">
      <c r="B56" s="52" t="s">
        <v>52</v>
      </c>
      <c r="C56" s="37" t="s">
        <v>536</v>
      </c>
      <c r="D56" s="37" t="s">
        <v>533</v>
      </c>
      <c r="E56" s="37" t="s">
        <v>534</v>
      </c>
      <c r="F56" s="37" t="s">
        <v>535</v>
      </c>
      <c r="G56" s="192" t="s">
        <v>96</v>
      </c>
    </row>
    <row r="57" spans="2:7" ht="25.5" x14ac:dyDescent="0.2">
      <c r="B57" s="188" t="s">
        <v>53</v>
      </c>
      <c r="C57" s="189">
        <v>913589.45</v>
      </c>
      <c r="D57" s="189">
        <v>623336.81000000006</v>
      </c>
      <c r="E57" s="189">
        <v>13697.5</v>
      </c>
      <c r="F57" s="189">
        <v>138541.28</v>
      </c>
      <c r="G57" s="193">
        <f>C41+D41+E41+F41+C57+D57+E57+F57+G41</f>
        <v>2369449.21</v>
      </c>
    </row>
    <row r="58" spans="2:7" x14ac:dyDescent="0.2">
      <c r="B58" s="188" t="s">
        <v>54</v>
      </c>
      <c r="C58" s="189">
        <v>327650.23</v>
      </c>
      <c r="D58" s="189">
        <v>223924.65</v>
      </c>
      <c r="E58" s="189">
        <v>4878.66</v>
      </c>
      <c r="F58" s="189">
        <v>52863.54</v>
      </c>
      <c r="G58" s="193">
        <f>C42+D42+E42+F42+C58+D58+E58+F58+G42</f>
        <v>855144.35000000009</v>
      </c>
    </row>
    <row r="59" spans="2:7" x14ac:dyDescent="0.2">
      <c r="B59" s="188" t="s">
        <v>55</v>
      </c>
      <c r="C59" s="189">
        <f>SUM(C60:C66)</f>
        <v>652612.13</v>
      </c>
      <c r="D59" s="189">
        <f>SUM(D60:D66)</f>
        <v>112345.61</v>
      </c>
      <c r="E59" s="189">
        <f>SUM(E60:E66)</f>
        <v>4561.97</v>
      </c>
      <c r="F59" s="189">
        <f>SUM(F60:F66)</f>
        <v>27847.18</v>
      </c>
      <c r="G59" s="193">
        <f>C43+D43+E43+F43+C59+D59+E59+F59+G43</f>
        <v>1267950.7</v>
      </c>
    </row>
    <row r="60" spans="2:7" x14ac:dyDescent="0.2">
      <c r="B60" s="57" t="s">
        <v>94</v>
      </c>
      <c r="C60" s="26">
        <v>55.2</v>
      </c>
      <c r="D60" s="26">
        <v>322.7</v>
      </c>
      <c r="E60" s="26">
        <v>0</v>
      </c>
      <c r="F60" s="26">
        <v>56.62</v>
      </c>
      <c r="G60" s="194">
        <f t="shared" ref="G60:G69" si="0">C44+D44+E44+F44+C60+D60+E60+F60+G44</f>
        <v>523.66999999999996</v>
      </c>
    </row>
    <row r="61" spans="2:7" ht="25.5" x14ac:dyDescent="0.2">
      <c r="B61" s="57" t="s">
        <v>56</v>
      </c>
      <c r="C61" s="26">
        <v>171525.33</v>
      </c>
      <c r="D61" s="26">
        <v>628.95000000000005</v>
      </c>
      <c r="E61" s="26">
        <v>47.15</v>
      </c>
      <c r="F61" s="26">
        <v>1605.95</v>
      </c>
      <c r="G61" s="194">
        <f t="shared" si="0"/>
        <v>312184.52</v>
      </c>
    </row>
    <row r="62" spans="2:7" x14ac:dyDescent="0.2">
      <c r="B62" s="57" t="s">
        <v>57</v>
      </c>
      <c r="C62" s="26">
        <v>71998.850000000006</v>
      </c>
      <c r="D62" s="26">
        <v>3846.15</v>
      </c>
      <c r="E62" s="26">
        <v>60</v>
      </c>
      <c r="F62" s="26">
        <v>2966.56</v>
      </c>
      <c r="G62" s="194">
        <f t="shared" si="0"/>
        <v>142663.05000000002</v>
      </c>
    </row>
    <row r="63" spans="2:7" x14ac:dyDescent="0.2">
      <c r="B63" s="57" t="s">
        <v>58</v>
      </c>
      <c r="C63" s="26">
        <v>5.5</v>
      </c>
      <c r="D63" s="26">
        <v>5364.43</v>
      </c>
      <c r="E63" s="26">
        <v>4221.05</v>
      </c>
      <c r="F63" s="26">
        <v>1421.52</v>
      </c>
      <c r="G63" s="194">
        <f t="shared" si="0"/>
        <v>13561.100000000002</v>
      </c>
    </row>
    <row r="64" spans="2:7" ht="22.5" customHeight="1" x14ac:dyDescent="0.2">
      <c r="B64" s="57" t="s">
        <v>59</v>
      </c>
      <c r="C64" s="26">
        <v>25762.240000000002</v>
      </c>
      <c r="D64" s="26">
        <v>0</v>
      </c>
      <c r="E64" s="26">
        <v>0</v>
      </c>
      <c r="F64" s="26">
        <v>329</v>
      </c>
      <c r="G64" s="194">
        <f t="shared" si="0"/>
        <v>67523.399999999994</v>
      </c>
    </row>
    <row r="65" spans="2:9" ht="15.75" customHeight="1" x14ac:dyDescent="0.2">
      <c r="B65" s="57" t="s">
        <v>60</v>
      </c>
      <c r="C65" s="26">
        <v>999</v>
      </c>
      <c r="D65" s="26">
        <v>0</v>
      </c>
      <c r="E65" s="26">
        <v>0</v>
      </c>
      <c r="F65" s="26">
        <v>0</v>
      </c>
      <c r="G65" s="194">
        <f t="shared" si="0"/>
        <v>999</v>
      </c>
    </row>
    <row r="66" spans="2:9" x14ac:dyDescent="0.2">
      <c r="B66" s="57" t="s">
        <v>61</v>
      </c>
      <c r="C66" s="26">
        <f>378567.52+3698.49</f>
        <v>382266.01</v>
      </c>
      <c r="D66" s="26">
        <f>98037.7+4145.68</f>
        <v>102183.38</v>
      </c>
      <c r="E66" s="26">
        <v>233.77</v>
      </c>
      <c r="F66" s="26">
        <f>20642.53+825</f>
        <v>21467.53</v>
      </c>
      <c r="G66" s="194">
        <f t="shared" si="0"/>
        <v>730495.96000000008</v>
      </c>
    </row>
    <row r="67" spans="2:9" x14ac:dyDescent="0.2">
      <c r="B67" s="190" t="s">
        <v>62</v>
      </c>
      <c r="C67" s="191">
        <v>55780.1</v>
      </c>
      <c r="D67" s="191">
        <v>54211.49</v>
      </c>
      <c r="E67" s="191">
        <v>832.45</v>
      </c>
      <c r="F67" s="191">
        <v>11443.54</v>
      </c>
      <c r="G67" s="195">
        <f t="shared" si="0"/>
        <v>155030.33000000002</v>
      </c>
    </row>
    <row r="68" spans="2:9" x14ac:dyDescent="0.2">
      <c r="B68" s="63" t="s">
        <v>95</v>
      </c>
      <c r="C68" s="65">
        <f>C57+C58+C59+C67</f>
        <v>1949631.9100000001</v>
      </c>
      <c r="D68" s="65">
        <f>D57+D58+D59+D67</f>
        <v>1013818.56</v>
      </c>
      <c r="E68" s="65">
        <f>E57+E58+E59+E67</f>
        <v>23970.58</v>
      </c>
      <c r="F68" s="65">
        <f>F57+F58+F59+F67</f>
        <v>230695.54</v>
      </c>
      <c r="G68" s="75">
        <f>C52+D52+E52+F52+C68+D68+E68+F68+G52</f>
        <v>4647574.59</v>
      </c>
      <c r="I68" s="4"/>
    </row>
    <row r="69" spans="2:9" x14ac:dyDescent="0.2">
      <c r="B69" s="63" t="s">
        <v>97</v>
      </c>
      <c r="C69" s="65">
        <f>68883.65+2000+5436</f>
        <v>76319.649999999994</v>
      </c>
      <c r="D69" s="65">
        <v>0</v>
      </c>
      <c r="E69" s="65">
        <v>0</v>
      </c>
      <c r="F69" s="65">
        <v>0</v>
      </c>
      <c r="G69" s="75">
        <f t="shared" si="0"/>
        <v>123964.53</v>
      </c>
      <c r="I69" s="4"/>
    </row>
    <row r="70" spans="2:9" x14ac:dyDescent="0.2">
      <c r="B70" s="16"/>
      <c r="C70" s="16"/>
      <c r="D70" s="16"/>
      <c r="E70" s="16"/>
      <c r="F70" s="16"/>
      <c r="G70" s="16"/>
    </row>
    <row r="71" spans="2:9" x14ac:dyDescent="0.2">
      <c r="B71" s="16"/>
      <c r="C71" s="16"/>
      <c r="D71" s="16"/>
      <c r="E71" s="16"/>
      <c r="F71" s="16"/>
      <c r="G71" s="16"/>
    </row>
    <row r="72" spans="2:9" x14ac:dyDescent="0.2">
      <c r="B72" s="16"/>
      <c r="C72" s="16"/>
      <c r="D72" s="16"/>
      <c r="E72" s="16"/>
      <c r="F72" s="16"/>
      <c r="G72" s="17"/>
    </row>
    <row r="73" spans="2:9" x14ac:dyDescent="0.2">
      <c r="B73" s="16"/>
      <c r="C73" s="16"/>
      <c r="D73" s="16"/>
      <c r="E73" s="16"/>
      <c r="F73" s="16"/>
      <c r="G73" s="17"/>
    </row>
    <row r="74" spans="2:9" x14ac:dyDescent="0.2">
      <c r="B74" s="16"/>
      <c r="C74" s="16"/>
      <c r="D74" s="16"/>
      <c r="E74" s="16"/>
      <c r="F74" s="16"/>
      <c r="G74" s="16"/>
    </row>
    <row r="75" spans="2:9" x14ac:dyDescent="0.2">
      <c r="B75" s="16"/>
      <c r="C75" s="16"/>
      <c r="D75" s="16"/>
      <c r="E75" s="16"/>
      <c r="F75" s="16"/>
      <c r="G75" s="16"/>
    </row>
    <row r="76" spans="2:9" x14ac:dyDescent="0.2">
      <c r="B76" s="16"/>
      <c r="C76" s="16"/>
      <c r="D76" s="16"/>
      <c r="E76" s="16"/>
      <c r="F76" s="16"/>
      <c r="G76" s="16"/>
    </row>
  </sheetData>
  <mergeCells count="34">
    <mergeCell ref="B16:D16"/>
    <mergeCell ref="B3:G3"/>
    <mergeCell ref="B5:D5"/>
    <mergeCell ref="B6:D6"/>
    <mergeCell ref="B8:D8"/>
    <mergeCell ref="B9:D9"/>
    <mergeCell ref="B10:D10"/>
    <mergeCell ref="B11:D11"/>
    <mergeCell ref="B13:D13"/>
    <mergeCell ref="B14:D14"/>
    <mergeCell ref="B15:D15"/>
    <mergeCell ref="B7:D7"/>
    <mergeCell ref="B12:D12"/>
    <mergeCell ref="B17:D17"/>
    <mergeCell ref="B18:D18"/>
    <mergeCell ref="B19:D19"/>
    <mergeCell ref="B20:D20"/>
    <mergeCell ref="B22:D22"/>
    <mergeCell ref="B21:D21"/>
    <mergeCell ref="B37:D37"/>
    <mergeCell ref="B32:D32"/>
    <mergeCell ref="B33:D33"/>
    <mergeCell ref="B34:D34"/>
    <mergeCell ref="B35:D35"/>
    <mergeCell ref="B31:D31"/>
    <mergeCell ref="B36:D36"/>
    <mergeCell ref="B30:D30"/>
    <mergeCell ref="B23:D23"/>
    <mergeCell ref="B24:D24"/>
    <mergeCell ref="B25:D25"/>
    <mergeCell ref="B28:D28"/>
    <mergeCell ref="B26:D26"/>
    <mergeCell ref="B29:D29"/>
    <mergeCell ref="B27:D27"/>
  </mergeCells>
  <phoneticPr fontId="22" type="noConversion"/>
  <pageMargins left="0.86614173228346458" right="0.59055118110236227" top="0.51181102362204722" bottom="0.55118110236220474" header="0.11811023622047245" footer="0.15748031496062992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K34"/>
  <sheetViews>
    <sheetView workbookViewId="0"/>
  </sheetViews>
  <sheetFormatPr defaultRowHeight="12.75" x14ac:dyDescent="0.2"/>
  <cols>
    <col min="1" max="1" width="5.140625" style="35" customWidth="1"/>
    <col min="2" max="2" width="23.7109375" style="35" customWidth="1"/>
    <col min="3" max="3" width="12.140625" style="35" customWidth="1"/>
    <col min="4" max="4" width="10.85546875" style="35" customWidth="1"/>
    <col min="5" max="5" width="11.28515625" style="35" customWidth="1"/>
    <col min="6" max="6" width="10.7109375" style="35" customWidth="1"/>
    <col min="7" max="7" width="11.7109375" style="35" customWidth="1"/>
    <col min="8" max="8" width="10.140625" style="35" bestFit="1" customWidth="1"/>
    <col min="9" max="9" width="9.140625" style="35" customWidth="1"/>
    <col min="10" max="16384" width="9.140625" style="35"/>
  </cols>
  <sheetData>
    <row r="1" spans="2:11" ht="27.75" customHeight="1" x14ac:dyDescent="0.2">
      <c r="H1" s="126" t="s">
        <v>98</v>
      </c>
    </row>
    <row r="2" spans="2:11" ht="18.75" customHeight="1" x14ac:dyDescent="0.25">
      <c r="B2" s="571" t="s">
        <v>99</v>
      </c>
      <c r="C2" s="571"/>
      <c r="D2" s="571"/>
      <c r="E2" s="571"/>
      <c r="F2" s="571"/>
      <c r="G2" s="571"/>
      <c r="H2" s="571"/>
    </row>
    <row r="3" spans="2:11" ht="22.5" customHeight="1" x14ac:dyDescent="0.2"/>
    <row r="4" spans="2:11" ht="21" customHeight="1" x14ac:dyDescent="0.2">
      <c r="B4" s="572" t="s">
        <v>100</v>
      </c>
      <c r="C4" s="572"/>
      <c r="D4" s="572"/>
      <c r="E4" s="572"/>
      <c r="I4" s="16"/>
      <c r="J4" s="16"/>
      <c r="K4" s="16"/>
    </row>
    <row r="5" spans="2:11" ht="30.75" customHeight="1" x14ac:dyDescent="0.2">
      <c r="B5" s="562" t="s">
        <v>101</v>
      </c>
      <c r="C5" s="562"/>
      <c r="D5" s="562"/>
      <c r="E5" s="42">
        <v>9375.1200000000008</v>
      </c>
      <c r="I5" s="16"/>
      <c r="J5" s="16"/>
      <c r="K5" s="16"/>
    </row>
    <row r="6" spans="2:11" ht="28.5" customHeight="1" x14ac:dyDescent="0.2">
      <c r="B6" s="562" t="s">
        <v>632</v>
      </c>
      <c r="C6" s="562"/>
      <c r="D6" s="562"/>
      <c r="E6" s="42">
        <v>500</v>
      </c>
      <c r="I6" s="16"/>
      <c r="J6" s="16"/>
      <c r="K6" s="16"/>
    </row>
    <row r="7" spans="2:11" ht="14.25" customHeight="1" x14ac:dyDescent="0.2">
      <c r="B7" s="562" t="s">
        <v>102</v>
      </c>
      <c r="C7" s="562"/>
      <c r="D7" s="562"/>
      <c r="E7" s="42">
        <v>78207</v>
      </c>
      <c r="I7" s="16"/>
      <c r="J7" s="16"/>
      <c r="K7" s="16"/>
    </row>
    <row r="8" spans="2:11" x14ac:dyDescent="0.2">
      <c r="B8" s="567" t="s">
        <v>103</v>
      </c>
      <c r="C8" s="567"/>
      <c r="D8" s="567"/>
      <c r="E8" s="42">
        <v>273278.90000000002</v>
      </c>
      <c r="I8" s="16"/>
      <c r="J8" s="16"/>
      <c r="K8" s="16"/>
    </row>
    <row r="9" spans="2:11" x14ac:dyDescent="0.2">
      <c r="B9" s="567" t="s">
        <v>104</v>
      </c>
      <c r="C9" s="567"/>
      <c r="D9" s="567"/>
      <c r="E9" s="42">
        <v>425842.82</v>
      </c>
      <c r="I9" s="16"/>
      <c r="J9" s="16"/>
      <c r="K9" s="16"/>
    </row>
    <row r="10" spans="2:11" x14ac:dyDescent="0.2">
      <c r="B10" s="185" t="s">
        <v>633</v>
      </c>
      <c r="C10" s="185"/>
      <c r="D10" s="185"/>
      <c r="E10" s="42">
        <v>2430</v>
      </c>
      <c r="I10" s="16"/>
      <c r="J10" s="16"/>
      <c r="K10" s="16"/>
    </row>
    <row r="11" spans="2:11" ht="16.5" customHeight="1" x14ac:dyDescent="0.2">
      <c r="B11" s="567" t="s">
        <v>51</v>
      </c>
      <c r="C11" s="567"/>
      <c r="D11" s="567"/>
      <c r="E11" s="42">
        <v>4401.2299999999996</v>
      </c>
      <c r="I11" s="16"/>
      <c r="J11" s="16"/>
      <c r="K11" s="16"/>
    </row>
    <row r="12" spans="2:11" s="196" customFormat="1" x14ac:dyDescent="0.2">
      <c r="B12" s="560" t="s">
        <v>49</v>
      </c>
      <c r="C12" s="560"/>
      <c r="D12" s="560"/>
      <c r="E12" s="136">
        <v>3856.64</v>
      </c>
      <c r="I12" s="197"/>
      <c r="J12" s="197"/>
      <c r="K12" s="197"/>
    </row>
    <row r="13" spans="2:11" x14ac:dyDescent="0.2">
      <c r="B13" s="560" t="s">
        <v>105</v>
      </c>
      <c r="C13" s="560"/>
      <c r="D13" s="560"/>
      <c r="E13" s="136">
        <v>1353.16</v>
      </c>
      <c r="I13" s="16"/>
      <c r="J13" s="16"/>
      <c r="K13" s="16"/>
    </row>
    <row r="14" spans="2:11" s="76" customFormat="1" ht="21.75" customHeight="1" x14ac:dyDescent="0.25">
      <c r="B14" s="570" t="s">
        <v>96</v>
      </c>
      <c r="C14" s="570"/>
      <c r="D14" s="570"/>
      <c r="E14" s="45">
        <f>SUM(E5:E13)</f>
        <v>799244.87000000011</v>
      </c>
      <c r="G14" s="80"/>
      <c r="I14" s="198"/>
      <c r="J14" s="198"/>
      <c r="K14" s="198"/>
    </row>
    <row r="15" spans="2:11" x14ac:dyDescent="0.2">
      <c r="I15" s="16"/>
      <c r="J15" s="16"/>
      <c r="K15" s="16"/>
    </row>
    <row r="16" spans="2:11" ht="13.5" customHeight="1" x14ac:dyDescent="0.2">
      <c r="I16" s="16"/>
      <c r="J16" s="16"/>
      <c r="K16" s="16"/>
    </row>
    <row r="17" spans="2:11" x14ac:dyDescent="0.2">
      <c r="I17" s="16"/>
      <c r="J17" s="16"/>
      <c r="K17" s="16"/>
    </row>
    <row r="18" spans="2:11" s="69" customFormat="1" ht="63.75" x14ac:dyDescent="0.25">
      <c r="B18" s="52" t="s">
        <v>52</v>
      </c>
      <c r="C18" s="37" t="s">
        <v>537</v>
      </c>
      <c r="D18" s="37" t="s">
        <v>538</v>
      </c>
      <c r="E18" s="37" t="s">
        <v>539</v>
      </c>
      <c r="F18" s="37" t="s">
        <v>540</v>
      </c>
      <c r="G18" s="37" t="s">
        <v>541</v>
      </c>
      <c r="H18" s="199" t="s">
        <v>96</v>
      </c>
      <c r="I18" s="200"/>
      <c r="J18" s="200"/>
      <c r="K18" s="200"/>
    </row>
    <row r="19" spans="2:11" s="76" customFormat="1" x14ac:dyDescent="0.25">
      <c r="B19" s="188" t="s">
        <v>53</v>
      </c>
      <c r="C19" s="201">
        <v>2580745.17</v>
      </c>
      <c r="D19" s="201">
        <v>40937.760000000002</v>
      </c>
      <c r="E19" s="201">
        <v>10723.76</v>
      </c>
      <c r="F19" s="201">
        <v>454510.88</v>
      </c>
      <c r="G19" s="201">
        <v>110408.62</v>
      </c>
      <c r="H19" s="201">
        <f t="shared" ref="H19:H29" si="0">C19+D19+E19+F19+G19</f>
        <v>3197326.1899999995</v>
      </c>
      <c r="I19" s="198"/>
      <c r="J19" s="198"/>
      <c r="K19" s="198"/>
    </row>
    <row r="20" spans="2:11" s="76" customFormat="1" x14ac:dyDescent="0.25">
      <c r="B20" s="188" t="s">
        <v>54</v>
      </c>
      <c r="C20" s="201">
        <v>945582.48</v>
      </c>
      <c r="D20" s="201">
        <v>22043.24</v>
      </c>
      <c r="E20" s="201">
        <v>5658.77</v>
      </c>
      <c r="F20" s="201">
        <v>163876</v>
      </c>
      <c r="G20" s="201">
        <v>42045.25</v>
      </c>
      <c r="H20" s="201">
        <f t="shared" si="0"/>
        <v>1179205.74</v>
      </c>
      <c r="I20" s="198"/>
      <c r="J20" s="198"/>
      <c r="K20" s="198"/>
    </row>
    <row r="21" spans="2:11" s="76" customFormat="1" x14ac:dyDescent="0.25">
      <c r="B21" s="188" t="s">
        <v>55</v>
      </c>
      <c r="C21" s="201">
        <f>SUM(C22:C28)</f>
        <v>1264864.1400000001</v>
      </c>
      <c r="D21" s="201">
        <f t="shared" ref="D21:G21" si="1">SUM(D22:D28)</f>
        <v>8721.630000000001</v>
      </c>
      <c r="E21" s="201">
        <f t="shared" si="1"/>
        <v>746.96</v>
      </c>
      <c r="F21" s="201">
        <f t="shared" si="1"/>
        <v>574065.03999999992</v>
      </c>
      <c r="G21" s="201">
        <f t="shared" si="1"/>
        <v>120568.63</v>
      </c>
      <c r="H21" s="201">
        <f>C21+D21+E21+F21+G21</f>
        <v>1968966.4</v>
      </c>
      <c r="I21" s="198"/>
      <c r="J21" s="198"/>
      <c r="K21" s="198"/>
    </row>
    <row r="22" spans="2:11" s="76" customFormat="1" x14ac:dyDescent="0.25">
      <c r="B22" s="57" t="s">
        <v>94</v>
      </c>
      <c r="C22" s="42">
        <v>276</v>
      </c>
      <c r="D22" s="42">
        <v>0</v>
      </c>
      <c r="E22" s="42">
        <v>0</v>
      </c>
      <c r="F22" s="42">
        <v>0</v>
      </c>
      <c r="G22" s="42">
        <v>0</v>
      </c>
      <c r="H22" s="202">
        <f t="shared" ref="H22" si="2">C22+D22+E22+F22+G22</f>
        <v>276</v>
      </c>
      <c r="I22" s="198"/>
      <c r="J22" s="198"/>
      <c r="K22" s="198"/>
    </row>
    <row r="23" spans="2:11" s="76" customFormat="1" ht="25.5" x14ac:dyDescent="0.25">
      <c r="B23" s="57" t="s">
        <v>56</v>
      </c>
      <c r="C23" s="42">
        <v>630421.4</v>
      </c>
      <c r="D23" s="42">
        <v>4693.5200000000004</v>
      </c>
      <c r="E23" s="42">
        <v>620</v>
      </c>
      <c r="F23" s="42">
        <v>1024.3399999999999</v>
      </c>
      <c r="G23" s="42">
        <v>802.52</v>
      </c>
      <c r="H23" s="202">
        <f t="shared" si="0"/>
        <v>637561.78</v>
      </c>
      <c r="I23" s="198"/>
      <c r="J23" s="198"/>
      <c r="K23" s="198"/>
    </row>
    <row r="24" spans="2:11" s="76" customFormat="1" x14ac:dyDescent="0.25">
      <c r="B24" s="57" t="s">
        <v>57</v>
      </c>
      <c r="C24" s="42">
        <v>369985.14</v>
      </c>
      <c r="D24" s="42">
        <v>687.65</v>
      </c>
      <c r="E24" s="42">
        <v>0</v>
      </c>
      <c r="F24" s="42">
        <v>524578.72</v>
      </c>
      <c r="G24" s="42">
        <v>4082.02</v>
      </c>
      <c r="H24" s="202">
        <f t="shared" si="0"/>
        <v>899333.53</v>
      </c>
      <c r="I24" s="198"/>
      <c r="J24" s="198"/>
      <c r="K24" s="198"/>
    </row>
    <row r="25" spans="2:11" s="76" customFormat="1" x14ac:dyDescent="0.25">
      <c r="B25" s="57" t="s">
        <v>58</v>
      </c>
      <c r="C25" s="42">
        <v>0</v>
      </c>
      <c r="D25" s="42">
        <v>0</v>
      </c>
      <c r="E25" s="42">
        <v>0</v>
      </c>
      <c r="F25" s="42">
        <v>0</v>
      </c>
      <c r="G25" s="42">
        <v>3172.94</v>
      </c>
      <c r="H25" s="202">
        <f t="shared" si="0"/>
        <v>3172.94</v>
      </c>
      <c r="I25" s="198"/>
      <c r="J25" s="198"/>
      <c r="K25" s="198"/>
    </row>
    <row r="26" spans="2:11" s="76" customFormat="1" ht="25.5" x14ac:dyDescent="0.25">
      <c r="B26" s="57" t="s">
        <v>59</v>
      </c>
      <c r="C26" s="42">
        <v>131770.22</v>
      </c>
      <c r="D26" s="42">
        <v>149.34</v>
      </c>
      <c r="E26" s="42">
        <v>0</v>
      </c>
      <c r="F26" s="42">
        <v>28922.29</v>
      </c>
      <c r="G26" s="42">
        <v>60113.4</v>
      </c>
      <c r="H26" s="202">
        <f t="shared" si="0"/>
        <v>220955.25</v>
      </c>
      <c r="I26" s="198"/>
      <c r="J26" s="198"/>
      <c r="K26" s="198"/>
    </row>
    <row r="27" spans="2:11" s="76" customFormat="1" x14ac:dyDescent="0.25">
      <c r="B27" s="57" t="s">
        <v>60</v>
      </c>
      <c r="C27" s="42">
        <v>30405.26</v>
      </c>
      <c r="D27" s="42">
        <v>0</v>
      </c>
      <c r="E27" s="42">
        <v>0</v>
      </c>
      <c r="F27" s="42">
        <v>0</v>
      </c>
      <c r="G27" s="42">
        <v>6324.52</v>
      </c>
      <c r="H27" s="202">
        <f t="shared" si="0"/>
        <v>36729.78</v>
      </c>
      <c r="I27" s="198"/>
      <c r="J27" s="198"/>
      <c r="K27" s="198"/>
    </row>
    <row r="28" spans="2:11" s="76" customFormat="1" x14ac:dyDescent="0.25">
      <c r="B28" s="57" t="s">
        <v>61</v>
      </c>
      <c r="C28" s="42">
        <v>102006.12</v>
      </c>
      <c r="D28" s="42">
        <v>3191.12</v>
      </c>
      <c r="E28" s="42">
        <v>126.96</v>
      </c>
      <c r="F28" s="42">
        <v>19539.689999999999</v>
      </c>
      <c r="G28" s="42">
        <v>46073.23</v>
      </c>
      <c r="H28" s="202">
        <f t="shared" si="0"/>
        <v>170937.12</v>
      </c>
      <c r="I28" s="198"/>
      <c r="J28" s="198"/>
      <c r="K28" s="198"/>
    </row>
    <row r="29" spans="2:11" x14ac:dyDescent="0.2">
      <c r="B29" s="190" t="s">
        <v>62</v>
      </c>
      <c r="C29" s="191">
        <v>51301.2</v>
      </c>
      <c r="D29" s="191">
        <v>23673.07</v>
      </c>
      <c r="E29" s="191">
        <v>4664.16</v>
      </c>
      <c r="F29" s="191">
        <v>9723.75</v>
      </c>
      <c r="G29" s="191">
        <v>7326.49</v>
      </c>
      <c r="H29" s="191">
        <f t="shared" si="0"/>
        <v>96688.67</v>
      </c>
      <c r="I29" s="16"/>
      <c r="J29" s="16"/>
      <c r="K29" s="16"/>
    </row>
    <row r="30" spans="2:11" x14ac:dyDescent="0.2">
      <c r="B30" s="63" t="s">
        <v>63</v>
      </c>
      <c r="C30" s="65">
        <f>C19+C20+C21+C29</f>
        <v>4842492.99</v>
      </c>
      <c r="D30" s="65">
        <f>D19+D20+D21+D29</f>
        <v>95375.700000000012</v>
      </c>
      <c r="E30" s="65">
        <f>E19+E20+E21+E29</f>
        <v>21793.65</v>
      </c>
      <c r="F30" s="65">
        <f>F19+F20+F21+F29</f>
        <v>1202175.67</v>
      </c>
      <c r="G30" s="65">
        <f>G19+G20+G21+G29</f>
        <v>280348.99</v>
      </c>
      <c r="H30" s="65">
        <f>G30+F30+E30+D30+C30</f>
        <v>6442187</v>
      </c>
      <c r="I30" s="16"/>
      <c r="J30" s="17"/>
      <c r="K30" s="16"/>
    </row>
    <row r="31" spans="2:11" x14ac:dyDescent="0.2">
      <c r="C31" s="99"/>
      <c r="D31" s="99"/>
      <c r="E31" s="99"/>
      <c r="F31" s="99"/>
      <c r="G31" s="99"/>
      <c r="I31" s="16"/>
      <c r="J31" s="16"/>
      <c r="K31" s="16"/>
    </row>
    <row r="32" spans="2:11" x14ac:dyDescent="0.2">
      <c r="I32" s="16"/>
      <c r="J32" s="16"/>
      <c r="K32" s="16"/>
    </row>
    <row r="33" spans="8:11" x14ac:dyDescent="0.2">
      <c r="H33" s="99"/>
      <c r="I33" s="16"/>
      <c r="J33" s="16"/>
      <c r="K33" s="16"/>
    </row>
    <row r="34" spans="8:11" x14ac:dyDescent="0.2">
      <c r="H34" s="99"/>
      <c r="I34" s="16"/>
      <c r="J34" s="16"/>
      <c r="K34" s="16"/>
    </row>
  </sheetData>
  <mergeCells count="11">
    <mergeCell ref="B12:D12"/>
    <mergeCell ref="B14:D14"/>
    <mergeCell ref="B2:H2"/>
    <mergeCell ref="B4:E4"/>
    <mergeCell ref="B5:D5"/>
    <mergeCell ref="B7:D7"/>
    <mergeCell ref="B8:D8"/>
    <mergeCell ref="B9:D9"/>
    <mergeCell ref="B13:D13"/>
    <mergeCell ref="B11:D11"/>
    <mergeCell ref="B6:D6"/>
  </mergeCells>
  <pageMargins left="0.78740157480314965" right="0.27559055118110237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89"/>
  <sheetViews>
    <sheetView workbookViewId="0"/>
  </sheetViews>
  <sheetFormatPr defaultRowHeight="12.75" x14ac:dyDescent="0.2"/>
  <cols>
    <col min="1" max="1" width="9.42578125" style="143" customWidth="1"/>
    <col min="2" max="2" width="18.28515625" style="143" customWidth="1"/>
    <col min="3" max="3" width="10.140625" style="143" customWidth="1"/>
    <col min="4" max="4" width="11.140625" style="143" customWidth="1"/>
    <col min="5" max="5" width="11" style="143" customWidth="1"/>
    <col min="6" max="6" width="9.140625" style="143"/>
    <col min="7" max="7" width="11" style="143" customWidth="1"/>
    <col min="8" max="8" width="9.85546875" style="143" customWidth="1"/>
    <col min="9" max="9" width="11" style="143" customWidth="1"/>
    <col min="10" max="10" width="10" style="143" customWidth="1"/>
    <col min="11" max="248" width="9.42578125" style="143" customWidth="1"/>
    <col min="249" max="249" width="16.42578125" style="143" customWidth="1"/>
    <col min="250" max="250" width="10.140625" style="143" customWidth="1"/>
    <col min="251" max="251" width="8.42578125" style="143" customWidth="1"/>
    <col min="252" max="252" width="10" style="143" customWidth="1"/>
    <col min="253" max="253" width="8.42578125" style="143" customWidth="1"/>
    <col min="254" max="254" width="11" style="143" customWidth="1"/>
    <col min="255" max="255" width="9" style="143" customWidth="1"/>
    <col min="256" max="256" width="11.42578125" style="143" customWidth="1"/>
    <col min="257" max="257" width="12" style="143" customWidth="1"/>
    <col min="258" max="504" width="9.42578125" style="143" customWidth="1"/>
    <col min="505" max="505" width="16.42578125" style="143" customWidth="1"/>
    <col min="506" max="506" width="10.140625" style="143" customWidth="1"/>
    <col min="507" max="507" width="8.42578125" style="143" customWidth="1"/>
    <col min="508" max="508" width="10" style="143" customWidth="1"/>
    <col min="509" max="509" width="8.42578125" style="143" customWidth="1"/>
    <col min="510" max="510" width="11" style="143" customWidth="1"/>
    <col min="511" max="511" width="9" style="143" customWidth="1"/>
    <col min="512" max="512" width="11.42578125" style="143" customWidth="1"/>
    <col min="513" max="513" width="12" style="143" customWidth="1"/>
    <col min="514" max="760" width="9.42578125" style="143" customWidth="1"/>
    <col min="761" max="761" width="16.42578125" style="143" customWidth="1"/>
    <col min="762" max="762" width="10.140625" style="143" customWidth="1"/>
    <col min="763" max="763" width="8.42578125" style="143" customWidth="1"/>
    <col min="764" max="764" width="10" style="143" customWidth="1"/>
    <col min="765" max="765" width="8.42578125" style="143" customWidth="1"/>
    <col min="766" max="766" width="11" style="143" customWidth="1"/>
    <col min="767" max="767" width="9" style="143" customWidth="1"/>
    <col min="768" max="768" width="11.42578125" style="143" customWidth="1"/>
    <col min="769" max="769" width="12" style="143" customWidth="1"/>
    <col min="770" max="1016" width="9.42578125" style="143" customWidth="1"/>
    <col min="1017" max="1017" width="16.42578125" style="143" customWidth="1"/>
    <col min="1018" max="1018" width="10.140625" style="143" customWidth="1"/>
    <col min="1019" max="1019" width="8.42578125" style="143" customWidth="1"/>
    <col min="1020" max="1020" width="10" style="143" customWidth="1"/>
    <col min="1021" max="1021" width="8.42578125" style="143" customWidth="1"/>
    <col min="1022" max="1022" width="11" style="143" customWidth="1"/>
    <col min="1023" max="1023" width="9" style="143" customWidth="1"/>
    <col min="1024" max="1024" width="11.42578125" style="143" customWidth="1"/>
    <col min="1025" max="1025" width="12" style="143" customWidth="1"/>
    <col min="1026" max="1272" width="9.42578125" style="143" customWidth="1"/>
    <col min="1273" max="1273" width="16.42578125" style="143" customWidth="1"/>
    <col min="1274" max="1274" width="10.140625" style="143" customWidth="1"/>
    <col min="1275" max="1275" width="8.42578125" style="143" customWidth="1"/>
    <col min="1276" max="1276" width="10" style="143" customWidth="1"/>
    <col min="1277" max="1277" width="8.42578125" style="143" customWidth="1"/>
    <col min="1278" max="1278" width="11" style="143" customWidth="1"/>
    <col min="1279" max="1279" width="9" style="143" customWidth="1"/>
    <col min="1280" max="1280" width="11.42578125" style="143" customWidth="1"/>
    <col min="1281" max="1281" width="12" style="143" customWidth="1"/>
    <col min="1282" max="1528" width="9.42578125" style="143" customWidth="1"/>
    <col min="1529" max="1529" width="16.42578125" style="143" customWidth="1"/>
    <col min="1530" max="1530" width="10.140625" style="143" customWidth="1"/>
    <col min="1531" max="1531" width="8.42578125" style="143" customWidth="1"/>
    <col min="1532" max="1532" width="10" style="143" customWidth="1"/>
    <col min="1533" max="1533" width="8.42578125" style="143" customWidth="1"/>
    <col min="1534" max="1534" width="11" style="143" customWidth="1"/>
    <col min="1535" max="1535" width="9" style="143" customWidth="1"/>
    <col min="1536" max="1536" width="11.42578125" style="143" customWidth="1"/>
    <col min="1537" max="1537" width="12" style="143" customWidth="1"/>
    <col min="1538" max="1784" width="9.42578125" style="143" customWidth="1"/>
    <col min="1785" max="1785" width="16.42578125" style="143" customWidth="1"/>
    <col min="1786" max="1786" width="10.140625" style="143" customWidth="1"/>
    <col min="1787" max="1787" width="8.42578125" style="143" customWidth="1"/>
    <col min="1788" max="1788" width="10" style="143" customWidth="1"/>
    <col min="1789" max="1789" width="8.42578125" style="143" customWidth="1"/>
    <col min="1790" max="1790" width="11" style="143" customWidth="1"/>
    <col min="1791" max="1791" width="9" style="143" customWidth="1"/>
    <col min="1792" max="1792" width="11.42578125" style="143" customWidth="1"/>
    <col min="1793" max="1793" width="12" style="143" customWidth="1"/>
    <col min="1794" max="2040" width="9.42578125" style="143" customWidth="1"/>
    <col min="2041" max="2041" width="16.42578125" style="143" customWidth="1"/>
    <col min="2042" max="2042" width="10.140625" style="143" customWidth="1"/>
    <col min="2043" max="2043" width="8.42578125" style="143" customWidth="1"/>
    <col min="2044" max="2044" width="10" style="143" customWidth="1"/>
    <col min="2045" max="2045" width="8.42578125" style="143" customWidth="1"/>
    <col min="2046" max="2046" width="11" style="143" customWidth="1"/>
    <col min="2047" max="2047" width="9" style="143" customWidth="1"/>
    <col min="2048" max="2048" width="11.42578125" style="143" customWidth="1"/>
    <col min="2049" max="2049" width="12" style="143" customWidth="1"/>
    <col min="2050" max="2296" width="9.42578125" style="143" customWidth="1"/>
    <col min="2297" max="2297" width="16.42578125" style="143" customWidth="1"/>
    <col min="2298" max="2298" width="10.140625" style="143" customWidth="1"/>
    <col min="2299" max="2299" width="8.42578125" style="143" customWidth="1"/>
    <col min="2300" max="2300" width="10" style="143" customWidth="1"/>
    <col min="2301" max="2301" width="8.42578125" style="143" customWidth="1"/>
    <col min="2302" max="2302" width="11" style="143" customWidth="1"/>
    <col min="2303" max="2303" width="9" style="143" customWidth="1"/>
    <col min="2304" max="2304" width="11.42578125" style="143" customWidth="1"/>
    <col min="2305" max="2305" width="12" style="143" customWidth="1"/>
    <col min="2306" max="2552" width="9.42578125" style="143" customWidth="1"/>
    <col min="2553" max="2553" width="16.42578125" style="143" customWidth="1"/>
    <col min="2554" max="2554" width="10.140625" style="143" customWidth="1"/>
    <col min="2555" max="2555" width="8.42578125" style="143" customWidth="1"/>
    <col min="2556" max="2556" width="10" style="143" customWidth="1"/>
    <col min="2557" max="2557" width="8.42578125" style="143" customWidth="1"/>
    <col min="2558" max="2558" width="11" style="143" customWidth="1"/>
    <col min="2559" max="2559" width="9" style="143" customWidth="1"/>
    <col min="2560" max="2560" width="11.42578125" style="143" customWidth="1"/>
    <col min="2561" max="2561" width="12" style="143" customWidth="1"/>
    <col min="2562" max="2808" width="9.42578125" style="143" customWidth="1"/>
    <col min="2809" max="2809" width="16.42578125" style="143" customWidth="1"/>
    <col min="2810" max="2810" width="10.140625" style="143" customWidth="1"/>
    <col min="2811" max="2811" width="8.42578125" style="143" customWidth="1"/>
    <col min="2812" max="2812" width="10" style="143" customWidth="1"/>
    <col min="2813" max="2813" width="8.42578125" style="143" customWidth="1"/>
    <col min="2814" max="2814" width="11" style="143" customWidth="1"/>
    <col min="2815" max="2815" width="9" style="143" customWidth="1"/>
    <col min="2816" max="2816" width="11.42578125" style="143" customWidth="1"/>
    <col min="2817" max="2817" width="12" style="143" customWidth="1"/>
    <col min="2818" max="3064" width="9.42578125" style="143" customWidth="1"/>
    <col min="3065" max="3065" width="16.42578125" style="143" customWidth="1"/>
    <col min="3066" max="3066" width="10.140625" style="143" customWidth="1"/>
    <col min="3067" max="3067" width="8.42578125" style="143" customWidth="1"/>
    <col min="3068" max="3068" width="10" style="143" customWidth="1"/>
    <col min="3069" max="3069" width="8.42578125" style="143" customWidth="1"/>
    <col min="3070" max="3070" width="11" style="143" customWidth="1"/>
    <col min="3071" max="3071" width="9" style="143" customWidth="1"/>
    <col min="3072" max="3072" width="11.42578125" style="143" customWidth="1"/>
    <col min="3073" max="3073" width="12" style="143" customWidth="1"/>
    <col min="3074" max="3320" width="9.42578125" style="143" customWidth="1"/>
    <col min="3321" max="3321" width="16.42578125" style="143" customWidth="1"/>
    <col min="3322" max="3322" width="10.140625" style="143" customWidth="1"/>
    <col min="3323" max="3323" width="8.42578125" style="143" customWidth="1"/>
    <col min="3324" max="3324" width="10" style="143" customWidth="1"/>
    <col min="3325" max="3325" width="8.42578125" style="143" customWidth="1"/>
    <col min="3326" max="3326" width="11" style="143" customWidth="1"/>
    <col min="3327" max="3327" width="9" style="143" customWidth="1"/>
    <col min="3328" max="3328" width="11.42578125" style="143" customWidth="1"/>
    <col min="3329" max="3329" width="12" style="143" customWidth="1"/>
    <col min="3330" max="3576" width="9.42578125" style="143" customWidth="1"/>
    <col min="3577" max="3577" width="16.42578125" style="143" customWidth="1"/>
    <col min="3578" max="3578" width="10.140625" style="143" customWidth="1"/>
    <col min="3579" max="3579" width="8.42578125" style="143" customWidth="1"/>
    <col min="3580" max="3580" width="10" style="143" customWidth="1"/>
    <col min="3581" max="3581" width="8.42578125" style="143" customWidth="1"/>
    <col min="3582" max="3582" width="11" style="143" customWidth="1"/>
    <col min="3583" max="3583" width="9" style="143" customWidth="1"/>
    <col min="3584" max="3584" width="11.42578125" style="143" customWidth="1"/>
    <col min="3585" max="3585" width="12" style="143" customWidth="1"/>
    <col min="3586" max="3832" width="9.42578125" style="143" customWidth="1"/>
    <col min="3833" max="3833" width="16.42578125" style="143" customWidth="1"/>
    <col min="3834" max="3834" width="10.140625" style="143" customWidth="1"/>
    <col min="3835" max="3835" width="8.42578125" style="143" customWidth="1"/>
    <col min="3836" max="3836" width="10" style="143" customWidth="1"/>
    <col min="3837" max="3837" width="8.42578125" style="143" customWidth="1"/>
    <col min="3838" max="3838" width="11" style="143" customWidth="1"/>
    <col min="3839" max="3839" width="9" style="143" customWidth="1"/>
    <col min="3840" max="3840" width="11.42578125" style="143" customWidth="1"/>
    <col min="3841" max="3841" width="12" style="143" customWidth="1"/>
    <col min="3842" max="4088" width="9.42578125" style="143" customWidth="1"/>
    <col min="4089" max="4089" width="16.42578125" style="143" customWidth="1"/>
    <col min="4090" max="4090" width="10.140625" style="143" customWidth="1"/>
    <col min="4091" max="4091" width="8.42578125" style="143" customWidth="1"/>
    <col min="4092" max="4092" width="10" style="143" customWidth="1"/>
    <col min="4093" max="4093" width="8.42578125" style="143" customWidth="1"/>
    <col min="4094" max="4094" width="11" style="143" customWidth="1"/>
    <col min="4095" max="4095" width="9" style="143" customWidth="1"/>
    <col min="4096" max="4096" width="11.42578125" style="143" customWidth="1"/>
    <col min="4097" max="4097" width="12" style="143" customWidth="1"/>
    <col min="4098" max="4344" width="9.42578125" style="143" customWidth="1"/>
    <col min="4345" max="4345" width="16.42578125" style="143" customWidth="1"/>
    <col min="4346" max="4346" width="10.140625" style="143" customWidth="1"/>
    <col min="4347" max="4347" width="8.42578125" style="143" customWidth="1"/>
    <col min="4348" max="4348" width="10" style="143" customWidth="1"/>
    <col min="4349" max="4349" width="8.42578125" style="143" customWidth="1"/>
    <col min="4350" max="4350" width="11" style="143" customWidth="1"/>
    <col min="4351" max="4351" width="9" style="143" customWidth="1"/>
    <col min="4352" max="4352" width="11.42578125" style="143" customWidth="1"/>
    <col min="4353" max="4353" width="12" style="143" customWidth="1"/>
    <col min="4354" max="4600" width="9.42578125" style="143" customWidth="1"/>
    <col min="4601" max="4601" width="16.42578125" style="143" customWidth="1"/>
    <col min="4602" max="4602" width="10.140625" style="143" customWidth="1"/>
    <col min="4603" max="4603" width="8.42578125" style="143" customWidth="1"/>
    <col min="4604" max="4604" width="10" style="143" customWidth="1"/>
    <col min="4605" max="4605" width="8.42578125" style="143" customWidth="1"/>
    <col min="4606" max="4606" width="11" style="143" customWidth="1"/>
    <col min="4607" max="4607" width="9" style="143" customWidth="1"/>
    <col min="4608" max="4608" width="11.42578125" style="143" customWidth="1"/>
    <col min="4609" max="4609" width="12" style="143" customWidth="1"/>
    <col min="4610" max="4856" width="9.42578125" style="143" customWidth="1"/>
    <col min="4857" max="4857" width="16.42578125" style="143" customWidth="1"/>
    <col min="4858" max="4858" width="10.140625" style="143" customWidth="1"/>
    <col min="4859" max="4859" width="8.42578125" style="143" customWidth="1"/>
    <col min="4860" max="4860" width="10" style="143" customWidth="1"/>
    <col min="4861" max="4861" width="8.42578125" style="143" customWidth="1"/>
    <col min="4862" max="4862" width="11" style="143" customWidth="1"/>
    <col min="4863" max="4863" width="9" style="143" customWidth="1"/>
    <col min="4864" max="4864" width="11.42578125" style="143" customWidth="1"/>
    <col min="4865" max="4865" width="12" style="143" customWidth="1"/>
    <col min="4866" max="5112" width="9.42578125" style="143" customWidth="1"/>
    <col min="5113" max="5113" width="16.42578125" style="143" customWidth="1"/>
    <col min="5114" max="5114" width="10.140625" style="143" customWidth="1"/>
    <col min="5115" max="5115" width="8.42578125" style="143" customWidth="1"/>
    <col min="5116" max="5116" width="10" style="143" customWidth="1"/>
    <col min="5117" max="5117" width="8.42578125" style="143" customWidth="1"/>
    <col min="5118" max="5118" width="11" style="143" customWidth="1"/>
    <col min="5119" max="5119" width="9" style="143" customWidth="1"/>
    <col min="5120" max="5120" width="11.42578125" style="143" customWidth="1"/>
    <col min="5121" max="5121" width="12" style="143" customWidth="1"/>
    <col min="5122" max="5368" width="9.42578125" style="143" customWidth="1"/>
    <col min="5369" max="5369" width="16.42578125" style="143" customWidth="1"/>
    <col min="5370" max="5370" width="10.140625" style="143" customWidth="1"/>
    <col min="5371" max="5371" width="8.42578125" style="143" customWidth="1"/>
    <col min="5372" max="5372" width="10" style="143" customWidth="1"/>
    <col min="5373" max="5373" width="8.42578125" style="143" customWidth="1"/>
    <col min="5374" max="5374" width="11" style="143" customWidth="1"/>
    <col min="5375" max="5375" width="9" style="143" customWidth="1"/>
    <col min="5376" max="5376" width="11.42578125" style="143" customWidth="1"/>
    <col min="5377" max="5377" width="12" style="143" customWidth="1"/>
    <col min="5378" max="5624" width="9.42578125" style="143" customWidth="1"/>
    <col min="5625" max="5625" width="16.42578125" style="143" customWidth="1"/>
    <col min="5626" max="5626" width="10.140625" style="143" customWidth="1"/>
    <col min="5627" max="5627" width="8.42578125" style="143" customWidth="1"/>
    <col min="5628" max="5628" width="10" style="143" customWidth="1"/>
    <col min="5629" max="5629" width="8.42578125" style="143" customWidth="1"/>
    <col min="5630" max="5630" width="11" style="143" customWidth="1"/>
    <col min="5631" max="5631" width="9" style="143" customWidth="1"/>
    <col min="5632" max="5632" width="11.42578125" style="143" customWidth="1"/>
    <col min="5633" max="5633" width="12" style="143" customWidth="1"/>
    <col min="5634" max="5880" width="9.42578125" style="143" customWidth="1"/>
    <col min="5881" max="5881" width="16.42578125" style="143" customWidth="1"/>
    <col min="5882" max="5882" width="10.140625" style="143" customWidth="1"/>
    <col min="5883" max="5883" width="8.42578125" style="143" customWidth="1"/>
    <col min="5884" max="5884" width="10" style="143" customWidth="1"/>
    <col min="5885" max="5885" width="8.42578125" style="143" customWidth="1"/>
    <col min="5886" max="5886" width="11" style="143" customWidth="1"/>
    <col min="5887" max="5887" width="9" style="143" customWidth="1"/>
    <col min="5888" max="5888" width="11.42578125" style="143" customWidth="1"/>
    <col min="5889" max="5889" width="12" style="143" customWidth="1"/>
    <col min="5890" max="6136" width="9.42578125" style="143" customWidth="1"/>
    <col min="6137" max="6137" width="16.42578125" style="143" customWidth="1"/>
    <col min="6138" max="6138" width="10.140625" style="143" customWidth="1"/>
    <col min="6139" max="6139" width="8.42578125" style="143" customWidth="1"/>
    <col min="6140" max="6140" width="10" style="143" customWidth="1"/>
    <col min="6141" max="6141" width="8.42578125" style="143" customWidth="1"/>
    <col min="6142" max="6142" width="11" style="143" customWidth="1"/>
    <col min="6143" max="6143" width="9" style="143" customWidth="1"/>
    <col min="6144" max="6144" width="11.42578125" style="143" customWidth="1"/>
    <col min="6145" max="6145" width="12" style="143" customWidth="1"/>
    <col min="6146" max="6392" width="9.42578125" style="143" customWidth="1"/>
    <col min="6393" max="6393" width="16.42578125" style="143" customWidth="1"/>
    <col min="6394" max="6394" width="10.140625" style="143" customWidth="1"/>
    <col min="6395" max="6395" width="8.42578125" style="143" customWidth="1"/>
    <col min="6396" max="6396" width="10" style="143" customWidth="1"/>
    <col min="6397" max="6397" width="8.42578125" style="143" customWidth="1"/>
    <col min="6398" max="6398" width="11" style="143" customWidth="1"/>
    <col min="6399" max="6399" width="9" style="143" customWidth="1"/>
    <col min="6400" max="6400" width="11.42578125" style="143" customWidth="1"/>
    <col min="6401" max="6401" width="12" style="143" customWidth="1"/>
    <col min="6402" max="6648" width="9.42578125" style="143" customWidth="1"/>
    <col min="6649" max="6649" width="16.42578125" style="143" customWidth="1"/>
    <col min="6650" max="6650" width="10.140625" style="143" customWidth="1"/>
    <col min="6651" max="6651" width="8.42578125" style="143" customWidth="1"/>
    <col min="6652" max="6652" width="10" style="143" customWidth="1"/>
    <col min="6653" max="6653" width="8.42578125" style="143" customWidth="1"/>
    <col min="6654" max="6654" width="11" style="143" customWidth="1"/>
    <col min="6655" max="6655" width="9" style="143" customWidth="1"/>
    <col min="6656" max="6656" width="11.42578125" style="143" customWidth="1"/>
    <col min="6657" max="6657" width="12" style="143" customWidth="1"/>
    <col min="6658" max="6904" width="9.42578125" style="143" customWidth="1"/>
    <col min="6905" max="6905" width="16.42578125" style="143" customWidth="1"/>
    <col min="6906" max="6906" width="10.140625" style="143" customWidth="1"/>
    <col min="6907" max="6907" width="8.42578125" style="143" customWidth="1"/>
    <col min="6908" max="6908" width="10" style="143" customWidth="1"/>
    <col min="6909" max="6909" width="8.42578125" style="143" customWidth="1"/>
    <col min="6910" max="6910" width="11" style="143" customWidth="1"/>
    <col min="6911" max="6911" width="9" style="143" customWidth="1"/>
    <col min="6912" max="6912" width="11.42578125" style="143" customWidth="1"/>
    <col min="6913" max="6913" width="12" style="143" customWidth="1"/>
    <col min="6914" max="7160" width="9.42578125" style="143" customWidth="1"/>
    <col min="7161" max="7161" width="16.42578125" style="143" customWidth="1"/>
    <col min="7162" max="7162" width="10.140625" style="143" customWidth="1"/>
    <col min="7163" max="7163" width="8.42578125" style="143" customWidth="1"/>
    <col min="7164" max="7164" width="10" style="143" customWidth="1"/>
    <col min="7165" max="7165" width="8.42578125" style="143" customWidth="1"/>
    <col min="7166" max="7166" width="11" style="143" customWidth="1"/>
    <col min="7167" max="7167" width="9" style="143" customWidth="1"/>
    <col min="7168" max="7168" width="11.42578125" style="143" customWidth="1"/>
    <col min="7169" max="7169" width="12" style="143" customWidth="1"/>
    <col min="7170" max="7416" width="9.42578125" style="143" customWidth="1"/>
    <col min="7417" max="7417" width="16.42578125" style="143" customWidth="1"/>
    <col min="7418" max="7418" width="10.140625" style="143" customWidth="1"/>
    <col min="7419" max="7419" width="8.42578125" style="143" customWidth="1"/>
    <col min="7420" max="7420" width="10" style="143" customWidth="1"/>
    <col min="7421" max="7421" width="8.42578125" style="143" customWidth="1"/>
    <col min="7422" max="7422" width="11" style="143" customWidth="1"/>
    <col min="7423" max="7423" width="9" style="143" customWidth="1"/>
    <col min="7424" max="7424" width="11.42578125" style="143" customWidth="1"/>
    <col min="7425" max="7425" width="12" style="143" customWidth="1"/>
    <col min="7426" max="7672" width="9.42578125" style="143" customWidth="1"/>
    <col min="7673" max="7673" width="16.42578125" style="143" customWidth="1"/>
    <col min="7674" max="7674" width="10.140625" style="143" customWidth="1"/>
    <col min="7675" max="7675" width="8.42578125" style="143" customWidth="1"/>
    <col min="7676" max="7676" width="10" style="143" customWidth="1"/>
    <col min="7677" max="7677" width="8.42578125" style="143" customWidth="1"/>
    <col min="7678" max="7678" width="11" style="143" customWidth="1"/>
    <col min="7679" max="7679" width="9" style="143" customWidth="1"/>
    <col min="7680" max="7680" width="11.42578125" style="143" customWidth="1"/>
    <col min="7681" max="7681" width="12" style="143" customWidth="1"/>
    <col min="7682" max="7928" width="9.42578125" style="143" customWidth="1"/>
    <col min="7929" max="7929" width="16.42578125" style="143" customWidth="1"/>
    <col min="7930" max="7930" width="10.140625" style="143" customWidth="1"/>
    <col min="7931" max="7931" width="8.42578125" style="143" customWidth="1"/>
    <col min="7932" max="7932" width="10" style="143" customWidth="1"/>
    <col min="7933" max="7933" width="8.42578125" style="143" customWidth="1"/>
    <col min="7934" max="7934" width="11" style="143" customWidth="1"/>
    <col min="7935" max="7935" width="9" style="143" customWidth="1"/>
    <col min="7936" max="7936" width="11.42578125" style="143" customWidth="1"/>
    <col min="7937" max="7937" width="12" style="143" customWidth="1"/>
    <col min="7938" max="8184" width="9.42578125" style="143" customWidth="1"/>
    <col min="8185" max="8185" width="16.42578125" style="143" customWidth="1"/>
    <col min="8186" max="8186" width="10.140625" style="143" customWidth="1"/>
    <col min="8187" max="8187" width="8.42578125" style="143" customWidth="1"/>
    <col min="8188" max="8188" width="10" style="143" customWidth="1"/>
    <col min="8189" max="8189" width="8.42578125" style="143" customWidth="1"/>
    <col min="8190" max="8190" width="11" style="143" customWidth="1"/>
    <col min="8191" max="8191" width="9" style="143" customWidth="1"/>
    <col min="8192" max="8192" width="11.42578125" style="143" customWidth="1"/>
    <col min="8193" max="8193" width="12" style="143" customWidth="1"/>
    <col min="8194" max="8440" width="9.42578125" style="143" customWidth="1"/>
    <col min="8441" max="8441" width="16.42578125" style="143" customWidth="1"/>
    <col min="8442" max="8442" width="10.140625" style="143" customWidth="1"/>
    <col min="8443" max="8443" width="8.42578125" style="143" customWidth="1"/>
    <col min="8444" max="8444" width="10" style="143" customWidth="1"/>
    <col min="8445" max="8445" width="8.42578125" style="143" customWidth="1"/>
    <col min="8446" max="8446" width="11" style="143" customWidth="1"/>
    <col min="8447" max="8447" width="9" style="143" customWidth="1"/>
    <col min="8448" max="8448" width="11.42578125" style="143" customWidth="1"/>
    <col min="8449" max="8449" width="12" style="143" customWidth="1"/>
    <col min="8450" max="8696" width="9.42578125" style="143" customWidth="1"/>
    <col min="8697" max="8697" width="16.42578125" style="143" customWidth="1"/>
    <col min="8698" max="8698" width="10.140625" style="143" customWidth="1"/>
    <col min="8699" max="8699" width="8.42578125" style="143" customWidth="1"/>
    <col min="8700" max="8700" width="10" style="143" customWidth="1"/>
    <col min="8701" max="8701" width="8.42578125" style="143" customWidth="1"/>
    <col min="8702" max="8702" width="11" style="143" customWidth="1"/>
    <col min="8703" max="8703" width="9" style="143" customWidth="1"/>
    <col min="8704" max="8704" width="11.42578125" style="143" customWidth="1"/>
    <col min="8705" max="8705" width="12" style="143" customWidth="1"/>
    <col min="8706" max="8952" width="9.42578125" style="143" customWidth="1"/>
    <col min="8953" max="8953" width="16.42578125" style="143" customWidth="1"/>
    <col min="8954" max="8954" width="10.140625" style="143" customWidth="1"/>
    <col min="8955" max="8955" width="8.42578125" style="143" customWidth="1"/>
    <col min="8956" max="8956" width="10" style="143" customWidth="1"/>
    <col min="8957" max="8957" width="8.42578125" style="143" customWidth="1"/>
    <col min="8958" max="8958" width="11" style="143" customWidth="1"/>
    <col min="8959" max="8959" width="9" style="143" customWidth="1"/>
    <col min="8960" max="8960" width="11.42578125" style="143" customWidth="1"/>
    <col min="8961" max="8961" width="12" style="143" customWidth="1"/>
    <col min="8962" max="9208" width="9.42578125" style="143" customWidth="1"/>
    <col min="9209" max="9209" width="16.42578125" style="143" customWidth="1"/>
    <col min="9210" max="9210" width="10.140625" style="143" customWidth="1"/>
    <col min="9211" max="9211" width="8.42578125" style="143" customWidth="1"/>
    <col min="9212" max="9212" width="10" style="143" customWidth="1"/>
    <col min="9213" max="9213" width="8.42578125" style="143" customWidth="1"/>
    <col min="9214" max="9214" width="11" style="143" customWidth="1"/>
    <col min="9215" max="9215" width="9" style="143" customWidth="1"/>
    <col min="9216" max="9216" width="11.42578125" style="143" customWidth="1"/>
    <col min="9217" max="9217" width="12" style="143" customWidth="1"/>
    <col min="9218" max="9464" width="9.42578125" style="143" customWidth="1"/>
    <col min="9465" max="9465" width="16.42578125" style="143" customWidth="1"/>
    <col min="9466" max="9466" width="10.140625" style="143" customWidth="1"/>
    <col min="9467" max="9467" width="8.42578125" style="143" customWidth="1"/>
    <col min="9468" max="9468" width="10" style="143" customWidth="1"/>
    <col min="9469" max="9469" width="8.42578125" style="143" customWidth="1"/>
    <col min="9470" max="9470" width="11" style="143" customWidth="1"/>
    <col min="9471" max="9471" width="9" style="143" customWidth="1"/>
    <col min="9472" max="9472" width="11.42578125" style="143" customWidth="1"/>
    <col min="9473" max="9473" width="12" style="143" customWidth="1"/>
    <col min="9474" max="9720" width="9.42578125" style="143" customWidth="1"/>
    <col min="9721" max="9721" width="16.42578125" style="143" customWidth="1"/>
    <col min="9722" max="9722" width="10.140625" style="143" customWidth="1"/>
    <col min="9723" max="9723" width="8.42578125" style="143" customWidth="1"/>
    <col min="9724" max="9724" width="10" style="143" customWidth="1"/>
    <col min="9725" max="9725" width="8.42578125" style="143" customWidth="1"/>
    <col min="9726" max="9726" width="11" style="143" customWidth="1"/>
    <col min="9727" max="9727" width="9" style="143" customWidth="1"/>
    <col min="9728" max="9728" width="11.42578125" style="143" customWidth="1"/>
    <col min="9729" max="9729" width="12" style="143" customWidth="1"/>
    <col min="9730" max="9976" width="9.42578125" style="143" customWidth="1"/>
    <col min="9977" max="9977" width="16.42578125" style="143" customWidth="1"/>
    <col min="9978" max="9978" width="10.140625" style="143" customWidth="1"/>
    <col min="9979" max="9979" width="8.42578125" style="143" customWidth="1"/>
    <col min="9980" max="9980" width="10" style="143" customWidth="1"/>
    <col min="9981" max="9981" width="8.42578125" style="143" customWidth="1"/>
    <col min="9982" max="9982" width="11" style="143" customWidth="1"/>
    <col min="9983" max="9983" width="9" style="143" customWidth="1"/>
    <col min="9984" max="9984" width="11.42578125" style="143" customWidth="1"/>
    <col min="9985" max="9985" width="12" style="143" customWidth="1"/>
    <col min="9986" max="10232" width="9.42578125" style="143" customWidth="1"/>
    <col min="10233" max="10233" width="16.42578125" style="143" customWidth="1"/>
    <col min="10234" max="10234" width="10.140625" style="143" customWidth="1"/>
    <col min="10235" max="10235" width="8.42578125" style="143" customWidth="1"/>
    <col min="10236" max="10236" width="10" style="143" customWidth="1"/>
    <col min="10237" max="10237" width="8.42578125" style="143" customWidth="1"/>
    <col min="10238" max="10238" width="11" style="143" customWidth="1"/>
    <col min="10239" max="10239" width="9" style="143" customWidth="1"/>
    <col min="10240" max="10240" width="11.42578125" style="143" customWidth="1"/>
    <col min="10241" max="10241" width="12" style="143" customWidth="1"/>
    <col min="10242" max="10488" width="9.42578125" style="143" customWidth="1"/>
    <col min="10489" max="10489" width="16.42578125" style="143" customWidth="1"/>
    <col min="10490" max="10490" width="10.140625" style="143" customWidth="1"/>
    <col min="10491" max="10491" width="8.42578125" style="143" customWidth="1"/>
    <col min="10492" max="10492" width="10" style="143" customWidth="1"/>
    <col min="10493" max="10493" width="8.42578125" style="143" customWidth="1"/>
    <col min="10494" max="10494" width="11" style="143" customWidth="1"/>
    <col min="10495" max="10495" width="9" style="143" customWidth="1"/>
    <col min="10496" max="10496" width="11.42578125" style="143" customWidth="1"/>
    <col min="10497" max="10497" width="12" style="143" customWidth="1"/>
    <col min="10498" max="10744" width="9.42578125" style="143" customWidth="1"/>
    <col min="10745" max="10745" width="16.42578125" style="143" customWidth="1"/>
    <col min="10746" max="10746" width="10.140625" style="143" customWidth="1"/>
    <col min="10747" max="10747" width="8.42578125" style="143" customWidth="1"/>
    <col min="10748" max="10748" width="10" style="143" customWidth="1"/>
    <col min="10749" max="10749" width="8.42578125" style="143" customWidth="1"/>
    <col min="10750" max="10750" width="11" style="143" customWidth="1"/>
    <col min="10751" max="10751" width="9" style="143" customWidth="1"/>
    <col min="10752" max="10752" width="11.42578125" style="143" customWidth="1"/>
    <col min="10753" max="10753" width="12" style="143" customWidth="1"/>
    <col min="10754" max="11000" width="9.42578125" style="143" customWidth="1"/>
    <col min="11001" max="11001" width="16.42578125" style="143" customWidth="1"/>
    <col min="11002" max="11002" width="10.140625" style="143" customWidth="1"/>
    <col min="11003" max="11003" width="8.42578125" style="143" customWidth="1"/>
    <col min="11004" max="11004" width="10" style="143" customWidth="1"/>
    <col min="11005" max="11005" width="8.42578125" style="143" customWidth="1"/>
    <col min="11006" max="11006" width="11" style="143" customWidth="1"/>
    <col min="11007" max="11007" width="9" style="143" customWidth="1"/>
    <col min="11008" max="11008" width="11.42578125" style="143" customWidth="1"/>
    <col min="11009" max="11009" width="12" style="143" customWidth="1"/>
    <col min="11010" max="11256" width="9.42578125" style="143" customWidth="1"/>
    <col min="11257" max="11257" width="16.42578125" style="143" customWidth="1"/>
    <col min="11258" max="11258" width="10.140625" style="143" customWidth="1"/>
    <col min="11259" max="11259" width="8.42578125" style="143" customWidth="1"/>
    <col min="11260" max="11260" width="10" style="143" customWidth="1"/>
    <col min="11261" max="11261" width="8.42578125" style="143" customWidth="1"/>
    <col min="11262" max="11262" width="11" style="143" customWidth="1"/>
    <col min="11263" max="11263" width="9" style="143" customWidth="1"/>
    <col min="11264" max="11264" width="11.42578125" style="143" customWidth="1"/>
    <col min="11265" max="11265" width="12" style="143" customWidth="1"/>
    <col min="11266" max="11512" width="9.42578125" style="143" customWidth="1"/>
    <col min="11513" max="11513" width="16.42578125" style="143" customWidth="1"/>
    <col min="11514" max="11514" width="10.140625" style="143" customWidth="1"/>
    <col min="11515" max="11515" width="8.42578125" style="143" customWidth="1"/>
    <col min="11516" max="11516" width="10" style="143" customWidth="1"/>
    <col min="11517" max="11517" width="8.42578125" style="143" customWidth="1"/>
    <col min="11518" max="11518" width="11" style="143" customWidth="1"/>
    <col min="11519" max="11519" width="9" style="143" customWidth="1"/>
    <col min="11520" max="11520" width="11.42578125" style="143" customWidth="1"/>
    <col min="11521" max="11521" width="12" style="143" customWidth="1"/>
    <col min="11522" max="11768" width="9.42578125" style="143" customWidth="1"/>
    <col min="11769" max="11769" width="16.42578125" style="143" customWidth="1"/>
    <col min="11770" max="11770" width="10.140625" style="143" customWidth="1"/>
    <col min="11771" max="11771" width="8.42578125" style="143" customWidth="1"/>
    <col min="11772" max="11772" width="10" style="143" customWidth="1"/>
    <col min="11773" max="11773" width="8.42578125" style="143" customWidth="1"/>
    <col min="11774" max="11774" width="11" style="143" customWidth="1"/>
    <col min="11775" max="11775" width="9" style="143" customWidth="1"/>
    <col min="11776" max="11776" width="11.42578125" style="143" customWidth="1"/>
    <col min="11777" max="11777" width="12" style="143" customWidth="1"/>
    <col min="11778" max="12024" width="9.42578125" style="143" customWidth="1"/>
    <col min="12025" max="12025" width="16.42578125" style="143" customWidth="1"/>
    <col min="12026" max="12026" width="10.140625" style="143" customWidth="1"/>
    <col min="12027" max="12027" width="8.42578125" style="143" customWidth="1"/>
    <col min="12028" max="12028" width="10" style="143" customWidth="1"/>
    <col min="12029" max="12029" width="8.42578125" style="143" customWidth="1"/>
    <col min="12030" max="12030" width="11" style="143" customWidth="1"/>
    <col min="12031" max="12031" width="9" style="143" customWidth="1"/>
    <col min="12032" max="12032" width="11.42578125" style="143" customWidth="1"/>
    <col min="12033" max="12033" width="12" style="143" customWidth="1"/>
    <col min="12034" max="12280" width="9.42578125" style="143" customWidth="1"/>
    <col min="12281" max="12281" width="16.42578125" style="143" customWidth="1"/>
    <col min="12282" max="12282" width="10.140625" style="143" customWidth="1"/>
    <col min="12283" max="12283" width="8.42578125" style="143" customWidth="1"/>
    <col min="12284" max="12284" width="10" style="143" customWidth="1"/>
    <col min="12285" max="12285" width="8.42578125" style="143" customWidth="1"/>
    <col min="12286" max="12286" width="11" style="143" customWidth="1"/>
    <col min="12287" max="12287" width="9" style="143" customWidth="1"/>
    <col min="12288" max="12288" width="11.42578125" style="143" customWidth="1"/>
    <col min="12289" max="12289" width="12" style="143" customWidth="1"/>
    <col min="12290" max="12536" width="9.42578125" style="143" customWidth="1"/>
    <col min="12537" max="12537" width="16.42578125" style="143" customWidth="1"/>
    <col min="12538" max="12538" width="10.140625" style="143" customWidth="1"/>
    <col min="12539" max="12539" width="8.42578125" style="143" customWidth="1"/>
    <col min="12540" max="12540" width="10" style="143" customWidth="1"/>
    <col min="12541" max="12541" width="8.42578125" style="143" customWidth="1"/>
    <col min="12542" max="12542" width="11" style="143" customWidth="1"/>
    <col min="12543" max="12543" width="9" style="143" customWidth="1"/>
    <col min="12544" max="12544" width="11.42578125" style="143" customWidth="1"/>
    <col min="12545" max="12545" width="12" style="143" customWidth="1"/>
    <col min="12546" max="12792" width="9.42578125" style="143" customWidth="1"/>
    <col min="12793" max="12793" width="16.42578125" style="143" customWidth="1"/>
    <col min="12794" max="12794" width="10.140625" style="143" customWidth="1"/>
    <col min="12795" max="12795" width="8.42578125" style="143" customWidth="1"/>
    <col min="12796" max="12796" width="10" style="143" customWidth="1"/>
    <col min="12797" max="12797" width="8.42578125" style="143" customWidth="1"/>
    <col min="12798" max="12798" width="11" style="143" customWidth="1"/>
    <col min="12799" max="12799" width="9" style="143" customWidth="1"/>
    <col min="12800" max="12800" width="11.42578125" style="143" customWidth="1"/>
    <col min="12801" max="12801" width="12" style="143" customWidth="1"/>
    <col min="12802" max="13048" width="9.42578125" style="143" customWidth="1"/>
    <col min="13049" max="13049" width="16.42578125" style="143" customWidth="1"/>
    <col min="13050" max="13050" width="10.140625" style="143" customWidth="1"/>
    <col min="13051" max="13051" width="8.42578125" style="143" customWidth="1"/>
    <col min="13052" max="13052" width="10" style="143" customWidth="1"/>
    <col min="13053" max="13053" width="8.42578125" style="143" customWidth="1"/>
    <col min="13054" max="13054" width="11" style="143" customWidth="1"/>
    <col min="13055" max="13055" width="9" style="143" customWidth="1"/>
    <col min="13056" max="13056" width="11.42578125" style="143" customWidth="1"/>
    <col min="13057" max="13057" width="12" style="143" customWidth="1"/>
    <col min="13058" max="13304" width="9.42578125" style="143" customWidth="1"/>
    <col min="13305" max="13305" width="16.42578125" style="143" customWidth="1"/>
    <col min="13306" max="13306" width="10.140625" style="143" customWidth="1"/>
    <col min="13307" max="13307" width="8.42578125" style="143" customWidth="1"/>
    <col min="13308" max="13308" width="10" style="143" customWidth="1"/>
    <col min="13309" max="13309" width="8.42578125" style="143" customWidth="1"/>
    <col min="13310" max="13310" width="11" style="143" customWidth="1"/>
    <col min="13311" max="13311" width="9" style="143" customWidth="1"/>
    <col min="13312" max="13312" width="11.42578125" style="143" customWidth="1"/>
    <col min="13313" max="13313" width="12" style="143" customWidth="1"/>
    <col min="13314" max="13560" width="9.42578125" style="143" customWidth="1"/>
    <col min="13561" max="13561" width="16.42578125" style="143" customWidth="1"/>
    <col min="13562" max="13562" width="10.140625" style="143" customWidth="1"/>
    <col min="13563" max="13563" width="8.42578125" style="143" customWidth="1"/>
    <col min="13564" max="13564" width="10" style="143" customWidth="1"/>
    <col min="13565" max="13565" width="8.42578125" style="143" customWidth="1"/>
    <col min="13566" max="13566" width="11" style="143" customWidth="1"/>
    <col min="13567" max="13567" width="9" style="143" customWidth="1"/>
    <col min="13568" max="13568" width="11.42578125" style="143" customWidth="1"/>
    <col min="13569" max="13569" width="12" style="143" customWidth="1"/>
    <col min="13570" max="13816" width="9.42578125" style="143" customWidth="1"/>
    <col min="13817" max="13817" width="16.42578125" style="143" customWidth="1"/>
    <col min="13818" max="13818" width="10.140625" style="143" customWidth="1"/>
    <col min="13819" max="13819" width="8.42578125" style="143" customWidth="1"/>
    <col min="13820" max="13820" width="10" style="143" customWidth="1"/>
    <col min="13821" max="13821" width="8.42578125" style="143" customWidth="1"/>
    <col min="13822" max="13822" width="11" style="143" customWidth="1"/>
    <col min="13823" max="13823" width="9" style="143" customWidth="1"/>
    <col min="13824" max="13824" width="11.42578125" style="143" customWidth="1"/>
    <col min="13825" max="13825" width="12" style="143" customWidth="1"/>
    <col min="13826" max="14072" width="9.42578125" style="143" customWidth="1"/>
    <col min="14073" max="14073" width="16.42578125" style="143" customWidth="1"/>
    <col min="14074" max="14074" width="10.140625" style="143" customWidth="1"/>
    <col min="14075" max="14075" width="8.42578125" style="143" customWidth="1"/>
    <col min="14076" max="14076" width="10" style="143" customWidth="1"/>
    <col min="14077" max="14077" width="8.42578125" style="143" customWidth="1"/>
    <col min="14078" max="14078" width="11" style="143" customWidth="1"/>
    <col min="14079" max="14079" width="9" style="143" customWidth="1"/>
    <col min="14080" max="14080" width="11.42578125" style="143" customWidth="1"/>
    <col min="14081" max="14081" width="12" style="143" customWidth="1"/>
    <col min="14082" max="14328" width="9.42578125" style="143" customWidth="1"/>
    <col min="14329" max="14329" width="16.42578125" style="143" customWidth="1"/>
    <col min="14330" max="14330" width="10.140625" style="143" customWidth="1"/>
    <col min="14331" max="14331" width="8.42578125" style="143" customWidth="1"/>
    <col min="14332" max="14332" width="10" style="143" customWidth="1"/>
    <col min="14333" max="14333" width="8.42578125" style="143" customWidth="1"/>
    <col min="14334" max="14334" width="11" style="143" customWidth="1"/>
    <col min="14335" max="14335" width="9" style="143" customWidth="1"/>
    <col min="14336" max="14336" width="11.42578125" style="143" customWidth="1"/>
    <col min="14337" max="14337" width="12" style="143" customWidth="1"/>
    <col min="14338" max="14584" width="9.42578125" style="143" customWidth="1"/>
    <col min="14585" max="14585" width="16.42578125" style="143" customWidth="1"/>
    <col min="14586" max="14586" width="10.140625" style="143" customWidth="1"/>
    <col min="14587" max="14587" width="8.42578125" style="143" customWidth="1"/>
    <col min="14588" max="14588" width="10" style="143" customWidth="1"/>
    <col min="14589" max="14589" width="8.42578125" style="143" customWidth="1"/>
    <col min="14590" max="14590" width="11" style="143" customWidth="1"/>
    <col min="14591" max="14591" width="9" style="143" customWidth="1"/>
    <col min="14592" max="14592" width="11.42578125" style="143" customWidth="1"/>
    <col min="14593" max="14593" width="12" style="143" customWidth="1"/>
    <col min="14594" max="14840" width="9.42578125" style="143" customWidth="1"/>
    <col min="14841" max="14841" width="16.42578125" style="143" customWidth="1"/>
    <col min="14842" max="14842" width="10.140625" style="143" customWidth="1"/>
    <col min="14843" max="14843" width="8.42578125" style="143" customWidth="1"/>
    <col min="14844" max="14844" width="10" style="143" customWidth="1"/>
    <col min="14845" max="14845" width="8.42578125" style="143" customWidth="1"/>
    <col min="14846" max="14846" width="11" style="143" customWidth="1"/>
    <col min="14847" max="14847" width="9" style="143" customWidth="1"/>
    <col min="14848" max="14848" width="11.42578125" style="143" customWidth="1"/>
    <col min="14849" max="14849" width="12" style="143" customWidth="1"/>
    <col min="14850" max="15096" width="9.42578125" style="143" customWidth="1"/>
    <col min="15097" max="15097" width="16.42578125" style="143" customWidth="1"/>
    <col min="15098" max="15098" width="10.140625" style="143" customWidth="1"/>
    <col min="15099" max="15099" width="8.42578125" style="143" customWidth="1"/>
    <col min="15100" max="15100" width="10" style="143" customWidth="1"/>
    <col min="15101" max="15101" width="8.42578125" style="143" customWidth="1"/>
    <col min="15102" max="15102" width="11" style="143" customWidth="1"/>
    <col min="15103" max="15103" width="9" style="143" customWidth="1"/>
    <col min="15104" max="15104" width="11.42578125" style="143" customWidth="1"/>
    <col min="15105" max="15105" width="12" style="143" customWidth="1"/>
    <col min="15106" max="15352" width="9.42578125" style="143" customWidth="1"/>
    <col min="15353" max="15353" width="16.42578125" style="143" customWidth="1"/>
    <col min="15354" max="15354" width="10.140625" style="143" customWidth="1"/>
    <col min="15355" max="15355" width="8.42578125" style="143" customWidth="1"/>
    <col min="15356" max="15356" width="10" style="143" customWidth="1"/>
    <col min="15357" max="15357" width="8.42578125" style="143" customWidth="1"/>
    <col min="15358" max="15358" width="11" style="143" customWidth="1"/>
    <col min="15359" max="15359" width="9" style="143" customWidth="1"/>
    <col min="15360" max="15360" width="11.42578125" style="143" customWidth="1"/>
    <col min="15361" max="15361" width="12" style="143" customWidth="1"/>
    <col min="15362" max="15608" width="9.42578125" style="143" customWidth="1"/>
    <col min="15609" max="15609" width="16.42578125" style="143" customWidth="1"/>
    <col min="15610" max="15610" width="10.140625" style="143" customWidth="1"/>
    <col min="15611" max="15611" width="8.42578125" style="143" customWidth="1"/>
    <col min="15612" max="15612" width="10" style="143" customWidth="1"/>
    <col min="15613" max="15613" width="8.42578125" style="143" customWidth="1"/>
    <col min="15614" max="15614" width="11" style="143" customWidth="1"/>
    <col min="15615" max="15615" width="9" style="143" customWidth="1"/>
    <col min="15616" max="15616" width="11.42578125" style="143" customWidth="1"/>
    <col min="15617" max="15617" width="12" style="143" customWidth="1"/>
    <col min="15618" max="15864" width="9.42578125" style="143" customWidth="1"/>
    <col min="15865" max="15865" width="16.42578125" style="143" customWidth="1"/>
    <col min="15866" max="15866" width="10.140625" style="143" customWidth="1"/>
    <col min="15867" max="15867" width="8.42578125" style="143" customWidth="1"/>
    <col min="15868" max="15868" width="10" style="143" customWidth="1"/>
    <col min="15869" max="15869" width="8.42578125" style="143" customWidth="1"/>
    <col min="15870" max="15870" width="11" style="143" customWidth="1"/>
    <col min="15871" max="15871" width="9" style="143" customWidth="1"/>
    <col min="15872" max="15872" width="11.42578125" style="143" customWidth="1"/>
    <col min="15873" max="15873" width="12" style="143" customWidth="1"/>
    <col min="15874" max="16120" width="9.42578125" style="143" customWidth="1"/>
    <col min="16121" max="16121" width="16.42578125" style="143" customWidth="1"/>
    <col min="16122" max="16122" width="10.140625" style="143" customWidth="1"/>
    <col min="16123" max="16123" width="8.42578125" style="143" customWidth="1"/>
    <col min="16124" max="16124" width="10" style="143" customWidth="1"/>
    <col min="16125" max="16125" width="8.42578125" style="143" customWidth="1"/>
    <col min="16126" max="16126" width="11" style="143" customWidth="1"/>
    <col min="16127" max="16127" width="9" style="143" customWidth="1"/>
    <col min="16128" max="16128" width="11.42578125" style="143" customWidth="1"/>
    <col min="16129" max="16129" width="12" style="143" customWidth="1"/>
    <col min="16130" max="16384" width="9.42578125" style="143" customWidth="1"/>
  </cols>
  <sheetData>
    <row r="1" spans="2:11" s="1" customFormat="1" ht="14.25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2:11" s="1" customFormat="1" ht="14.25" x14ac:dyDescent="0.2">
      <c r="B2" s="143"/>
      <c r="C2" s="143"/>
      <c r="D2" s="143"/>
      <c r="E2" s="143"/>
      <c r="F2" s="143"/>
      <c r="G2" s="143"/>
      <c r="H2" s="143"/>
      <c r="I2" s="145" t="s">
        <v>106</v>
      </c>
      <c r="J2" s="143"/>
      <c r="K2" s="144"/>
    </row>
    <row r="3" spans="2:11" s="1" customFormat="1" ht="20.25" x14ac:dyDescent="0.3">
      <c r="B3" s="577" t="s">
        <v>107</v>
      </c>
      <c r="C3" s="577"/>
      <c r="D3" s="577"/>
      <c r="E3" s="577"/>
      <c r="F3" s="577"/>
      <c r="G3" s="577"/>
      <c r="H3" s="577"/>
      <c r="I3" s="577"/>
      <c r="J3" s="146"/>
      <c r="K3" s="144"/>
    </row>
    <row r="4" spans="2:11" s="1" customFormat="1" ht="9.7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2:11" s="1" customFormat="1" ht="18" customHeight="1" x14ac:dyDescent="0.2">
      <c r="B5" s="147" t="s">
        <v>108</v>
      </c>
      <c r="C5" s="148"/>
      <c r="D5" s="148"/>
      <c r="E5" s="143"/>
      <c r="F5" s="143"/>
      <c r="G5" s="143"/>
      <c r="H5" s="143"/>
      <c r="I5" s="143"/>
      <c r="J5" s="143"/>
      <c r="K5" s="144"/>
    </row>
    <row r="6" spans="2:11" s="1" customFormat="1" ht="14.25" x14ac:dyDescent="0.2">
      <c r="B6" s="143"/>
      <c r="C6" s="143"/>
      <c r="D6" s="143"/>
      <c r="E6" s="143"/>
      <c r="F6" s="143"/>
      <c r="G6" s="143"/>
      <c r="H6" s="146"/>
      <c r="I6" s="146"/>
      <c r="J6" s="145"/>
      <c r="K6" s="144"/>
    </row>
    <row r="7" spans="2:11" s="1" customFormat="1" ht="14.25" x14ac:dyDescent="0.2">
      <c r="B7" s="578" t="s">
        <v>109</v>
      </c>
      <c r="C7" s="580" t="s">
        <v>110</v>
      </c>
      <c r="D7" s="580" t="s">
        <v>111</v>
      </c>
      <c r="E7" s="582" t="s">
        <v>52</v>
      </c>
      <c r="F7" s="582"/>
      <c r="G7" s="582"/>
      <c r="H7" s="582"/>
      <c r="I7" s="582"/>
      <c r="J7" s="149"/>
      <c r="K7" s="144"/>
    </row>
    <row r="8" spans="2:11" s="1" customFormat="1" ht="12.95" customHeight="1" x14ac:dyDescent="0.2">
      <c r="B8" s="579"/>
      <c r="C8" s="581"/>
      <c r="D8" s="581"/>
      <c r="E8" s="583">
        <v>610</v>
      </c>
      <c r="F8" s="583">
        <v>620</v>
      </c>
      <c r="G8" s="583">
        <v>630</v>
      </c>
      <c r="H8" s="583">
        <v>640</v>
      </c>
      <c r="I8" s="583" t="s">
        <v>96</v>
      </c>
      <c r="J8" s="144"/>
      <c r="K8" s="150"/>
    </row>
    <row r="9" spans="2:11" s="1" customFormat="1" ht="5.25" customHeight="1" x14ac:dyDescent="0.2">
      <c r="B9" s="579"/>
      <c r="C9" s="581"/>
      <c r="D9" s="581"/>
      <c r="E9" s="583"/>
      <c r="F9" s="583"/>
      <c r="G9" s="583"/>
      <c r="H9" s="583"/>
      <c r="I9" s="583"/>
      <c r="J9" s="144"/>
      <c r="K9" s="150"/>
    </row>
    <row r="10" spans="2:11" s="1" customFormat="1" ht="14.25" x14ac:dyDescent="0.2">
      <c r="B10" s="151" t="s">
        <v>112</v>
      </c>
      <c r="C10" s="152">
        <v>62</v>
      </c>
      <c r="D10" s="153">
        <v>38492</v>
      </c>
      <c r="E10" s="154">
        <v>121702</v>
      </c>
      <c r="F10" s="154">
        <v>44825</v>
      </c>
      <c r="G10" s="154">
        <v>74017</v>
      </c>
      <c r="H10" s="154">
        <v>3840</v>
      </c>
      <c r="I10" s="155">
        <f>SUM(E10:H10)</f>
        <v>244384</v>
      </c>
      <c r="J10" s="144"/>
      <c r="K10" s="150"/>
    </row>
    <row r="11" spans="2:11" s="1" customFormat="1" ht="14.25" x14ac:dyDescent="0.2">
      <c r="B11" s="151" t="s">
        <v>113</v>
      </c>
      <c r="C11" s="152">
        <v>136</v>
      </c>
      <c r="D11" s="153">
        <v>81976</v>
      </c>
      <c r="E11" s="154">
        <v>214183</v>
      </c>
      <c r="F11" s="154">
        <v>78118</v>
      </c>
      <c r="G11" s="154">
        <v>102170</v>
      </c>
      <c r="H11" s="154">
        <v>2797</v>
      </c>
      <c r="I11" s="155">
        <f t="shared" ref="I11:I25" si="0">SUM(E11:H11)</f>
        <v>397268</v>
      </c>
      <c r="J11" s="144"/>
      <c r="K11" s="150"/>
    </row>
    <row r="12" spans="2:11" s="1" customFormat="1" ht="14.25" x14ac:dyDescent="0.2">
      <c r="B12" s="151" t="s">
        <v>114</v>
      </c>
      <c r="C12" s="152">
        <v>71</v>
      </c>
      <c r="D12" s="153">
        <v>41830</v>
      </c>
      <c r="E12" s="154">
        <v>111701</v>
      </c>
      <c r="F12" s="154">
        <v>40947</v>
      </c>
      <c r="G12" s="154">
        <v>72690</v>
      </c>
      <c r="H12" s="154">
        <v>7200</v>
      </c>
      <c r="I12" s="155">
        <f t="shared" si="0"/>
        <v>232538</v>
      </c>
      <c r="J12" s="144"/>
      <c r="K12" s="150"/>
    </row>
    <row r="13" spans="2:11" s="1" customFormat="1" ht="14.25" x14ac:dyDescent="0.2">
      <c r="B13" s="151" t="s">
        <v>115</v>
      </c>
      <c r="C13" s="152">
        <v>91</v>
      </c>
      <c r="D13" s="153">
        <v>51571</v>
      </c>
      <c r="E13" s="154">
        <v>154499</v>
      </c>
      <c r="F13" s="154">
        <v>56277</v>
      </c>
      <c r="G13" s="154">
        <v>89446</v>
      </c>
      <c r="H13" s="154">
        <v>2915</v>
      </c>
      <c r="I13" s="155">
        <f t="shared" si="0"/>
        <v>303137</v>
      </c>
      <c r="J13" s="144"/>
      <c r="K13" s="150"/>
    </row>
    <row r="14" spans="2:11" s="1" customFormat="1" ht="14.25" x14ac:dyDescent="0.2">
      <c r="B14" s="151" t="s">
        <v>116</v>
      </c>
      <c r="C14" s="152">
        <v>73</v>
      </c>
      <c r="D14" s="153">
        <v>46853</v>
      </c>
      <c r="E14" s="154">
        <v>148607</v>
      </c>
      <c r="F14" s="154">
        <v>54728</v>
      </c>
      <c r="G14" s="154">
        <v>88171</v>
      </c>
      <c r="H14" s="154">
        <v>1296</v>
      </c>
      <c r="I14" s="155">
        <f t="shared" si="0"/>
        <v>292802</v>
      </c>
      <c r="J14" s="144"/>
      <c r="K14" s="150"/>
    </row>
    <row r="15" spans="2:11" s="1" customFormat="1" ht="14.25" x14ac:dyDescent="0.2">
      <c r="B15" s="151" t="s">
        <v>117</v>
      </c>
      <c r="C15" s="152">
        <v>123</v>
      </c>
      <c r="D15" s="153">
        <v>75932</v>
      </c>
      <c r="E15" s="154">
        <v>246002</v>
      </c>
      <c r="F15" s="154">
        <v>89730</v>
      </c>
      <c r="G15" s="154">
        <v>110333</v>
      </c>
      <c r="H15" s="154">
        <v>5997</v>
      </c>
      <c r="I15" s="155">
        <f t="shared" si="0"/>
        <v>452062</v>
      </c>
      <c r="J15" s="144"/>
      <c r="K15" s="150"/>
    </row>
    <row r="16" spans="2:11" s="1" customFormat="1" ht="14.25" x14ac:dyDescent="0.2">
      <c r="B16" s="151" t="s">
        <v>118</v>
      </c>
      <c r="C16" s="152">
        <v>128</v>
      </c>
      <c r="D16" s="153">
        <v>82030</v>
      </c>
      <c r="E16" s="154">
        <v>215206</v>
      </c>
      <c r="F16" s="154">
        <v>78499</v>
      </c>
      <c r="G16" s="154">
        <v>163307</v>
      </c>
      <c r="H16" s="154">
        <v>2044</v>
      </c>
      <c r="I16" s="155">
        <f t="shared" si="0"/>
        <v>459056</v>
      </c>
      <c r="J16" s="144"/>
      <c r="K16" s="150"/>
    </row>
    <row r="17" spans="1:14" s="1" customFormat="1" ht="14.25" x14ac:dyDescent="0.2">
      <c r="B17" s="151" t="s">
        <v>119</v>
      </c>
      <c r="C17" s="152">
        <v>72</v>
      </c>
      <c r="D17" s="153">
        <v>40028</v>
      </c>
      <c r="E17" s="154">
        <v>151703</v>
      </c>
      <c r="F17" s="154">
        <v>56550</v>
      </c>
      <c r="G17" s="154">
        <v>58862</v>
      </c>
      <c r="H17" s="154">
        <v>4600</v>
      </c>
      <c r="I17" s="155">
        <f t="shared" si="0"/>
        <v>271715</v>
      </c>
      <c r="J17" s="144"/>
      <c r="K17" s="150"/>
      <c r="L17" s="150"/>
      <c r="M17" s="150"/>
    </row>
    <row r="18" spans="1:14" s="1" customFormat="1" ht="14.25" x14ac:dyDescent="0.2">
      <c r="B18" s="151" t="s">
        <v>120</v>
      </c>
      <c r="C18" s="152">
        <v>121</v>
      </c>
      <c r="D18" s="153">
        <v>68698</v>
      </c>
      <c r="E18" s="154">
        <v>219651</v>
      </c>
      <c r="F18" s="154">
        <v>78706</v>
      </c>
      <c r="G18" s="154">
        <v>91242</v>
      </c>
      <c r="H18" s="154">
        <v>596</v>
      </c>
      <c r="I18" s="155">
        <f t="shared" si="0"/>
        <v>390195</v>
      </c>
      <c r="J18" s="156"/>
      <c r="K18" s="150"/>
      <c r="L18" s="150"/>
      <c r="M18" s="150"/>
    </row>
    <row r="19" spans="1:14" s="1" customFormat="1" ht="14.25" x14ac:dyDescent="0.2">
      <c r="B19" s="151" t="s">
        <v>121</v>
      </c>
      <c r="C19" s="152">
        <v>123</v>
      </c>
      <c r="D19" s="153">
        <v>70572</v>
      </c>
      <c r="E19" s="154">
        <v>230435</v>
      </c>
      <c r="F19" s="154">
        <v>85925</v>
      </c>
      <c r="G19" s="154">
        <v>115116</v>
      </c>
      <c r="H19" s="154">
        <v>5099</v>
      </c>
      <c r="I19" s="155">
        <f t="shared" si="0"/>
        <v>436575</v>
      </c>
      <c r="J19" s="156"/>
      <c r="K19" s="150"/>
      <c r="L19" s="150"/>
      <c r="M19" s="150"/>
    </row>
    <row r="20" spans="1:14" s="1" customFormat="1" ht="14.25" x14ac:dyDescent="0.2">
      <c r="B20" s="151" t="s">
        <v>122</v>
      </c>
      <c r="C20" s="152">
        <v>84</v>
      </c>
      <c r="D20" s="153">
        <v>46466</v>
      </c>
      <c r="E20" s="154">
        <v>191839</v>
      </c>
      <c r="F20" s="154">
        <v>69075</v>
      </c>
      <c r="G20" s="154">
        <v>72330</v>
      </c>
      <c r="H20" s="154">
        <v>4275</v>
      </c>
      <c r="I20" s="155">
        <f t="shared" si="0"/>
        <v>337519</v>
      </c>
      <c r="J20" s="156"/>
      <c r="K20" s="150"/>
      <c r="L20" s="150"/>
      <c r="M20" s="150"/>
    </row>
    <row r="21" spans="1:14" s="1" customFormat="1" ht="14.25" x14ac:dyDescent="0.2">
      <c r="B21" s="151" t="s">
        <v>123</v>
      </c>
      <c r="C21" s="152">
        <v>35</v>
      </c>
      <c r="D21" s="153">
        <v>20201</v>
      </c>
      <c r="E21" s="154">
        <v>76451</v>
      </c>
      <c r="F21" s="154">
        <v>27121</v>
      </c>
      <c r="G21" s="154">
        <v>35080</v>
      </c>
      <c r="H21" s="154">
        <v>570</v>
      </c>
      <c r="I21" s="155">
        <f t="shared" si="0"/>
        <v>139222</v>
      </c>
      <c r="J21" s="156"/>
      <c r="K21" s="150"/>
      <c r="L21" s="150"/>
      <c r="M21" s="150"/>
    </row>
    <row r="22" spans="1:14" s="1" customFormat="1" ht="14.25" x14ac:dyDescent="0.2">
      <c r="B22" s="151" t="s">
        <v>124</v>
      </c>
      <c r="C22" s="152">
        <v>40</v>
      </c>
      <c r="D22" s="153">
        <v>27371</v>
      </c>
      <c r="E22" s="154">
        <v>93915</v>
      </c>
      <c r="F22" s="154">
        <v>36431</v>
      </c>
      <c r="G22" s="154">
        <v>39199</v>
      </c>
      <c r="H22" s="154">
        <v>7514</v>
      </c>
      <c r="I22" s="155">
        <f t="shared" si="0"/>
        <v>177059</v>
      </c>
      <c r="J22" s="156"/>
      <c r="K22" s="150"/>
      <c r="L22" s="150"/>
      <c r="M22" s="150"/>
    </row>
    <row r="23" spans="1:14" s="1" customFormat="1" ht="14.25" x14ac:dyDescent="0.2">
      <c r="B23" s="151" t="s">
        <v>125</v>
      </c>
      <c r="C23" s="152">
        <v>43</v>
      </c>
      <c r="D23" s="153">
        <v>9038</v>
      </c>
      <c r="E23" s="154">
        <v>100306</v>
      </c>
      <c r="F23" s="154">
        <v>36455</v>
      </c>
      <c r="G23" s="154">
        <v>44015</v>
      </c>
      <c r="H23" s="154">
        <v>838</v>
      </c>
      <c r="I23" s="155">
        <f t="shared" si="0"/>
        <v>181614</v>
      </c>
      <c r="J23" s="156"/>
      <c r="K23" s="150"/>
      <c r="L23" s="150"/>
      <c r="M23" s="150"/>
    </row>
    <row r="24" spans="1:14" s="1" customFormat="1" ht="14.25" x14ac:dyDescent="0.2">
      <c r="B24" s="151" t="s">
        <v>126</v>
      </c>
      <c r="C24" s="152">
        <v>145</v>
      </c>
      <c r="D24" s="153">
        <v>28767</v>
      </c>
      <c r="E24" s="154">
        <v>304544</v>
      </c>
      <c r="F24" s="154">
        <v>112194</v>
      </c>
      <c r="G24" s="154">
        <v>105761</v>
      </c>
      <c r="H24" s="154">
        <v>1718</v>
      </c>
      <c r="I24" s="155">
        <f t="shared" si="0"/>
        <v>524217</v>
      </c>
      <c r="J24" s="156"/>
      <c r="K24" s="150"/>
      <c r="L24" s="150"/>
      <c r="M24" s="150"/>
    </row>
    <row r="25" spans="1:14" s="1" customFormat="1" ht="14.25" x14ac:dyDescent="0.2">
      <c r="B25" s="157" t="s">
        <v>556</v>
      </c>
      <c r="C25" s="158"/>
      <c r="D25" s="159"/>
      <c r="E25" s="160"/>
      <c r="F25" s="160"/>
      <c r="G25" s="160">
        <v>3129</v>
      </c>
      <c r="H25" s="160"/>
      <c r="I25" s="155">
        <f t="shared" si="0"/>
        <v>3129</v>
      </c>
      <c r="J25" s="156"/>
      <c r="K25" s="150"/>
      <c r="L25" s="150"/>
      <c r="M25" s="150"/>
    </row>
    <row r="26" spans="1:14" s="161" customFormat="1" ht="17.25" customHeight="1" x14ac:dyDescent="0.25">
      <c r="B26" s="162" t="s">
        <v>127</v>
      </c>
      <c r="C26" s="163">
        <f>SUM(C10:C25)</f>
        <v>1347</v>
      </c>
      <c r="D26" s="163">
        <f t="shared" ref="D26:I26" si="1">SUM(D10:D25)</f>
        <v>729825</v>
      </c>
      <c r="E26" s="163">
        <f t="shared" si="1"/>
        <v>2580744</v>
      </c>
      <c r="F26" s="163">
        <f t="shared" si="1"/>
        <v>945581</v>
      </c>
      <c r="G26" s="163">
        <f t="shared" si="1"/>
        <v>1264868</v>
      </c>
      <c r="H26" s="163">
        <f t="shared" si="1"/>
        <v>51299</v>
      </c>
      <c r="I26" s="163">
        <f t="shared" si="1"/>
        <v>4842492</v>
      </c>
    </row>
    <row r="27" spans="1:14" s="1" customFormat="1" ht="3.75" customHeight="1" x14ac:dyDescent="0.2">
      <c r="B27" s="164"/>
      <c r="C27" s="164"/>
      <c r="D27" s="164"/>
      <c r="E27" s="164"/>
      <c r="F27" s="164"/>
      <c r="G27" s="164"/>
      <c r="H27" s="164"/>
      <c r="I27" s="164"/>
      <c r="J27" s="156"/>
      <c r="K27" s="150"/>
      <c r="L27" s="150"/>
      <c r="M27" s="150"/>
    </row>
    <row r="28" spans="1:14" s="1" customFormat="1" ht="19.5" customHeight="1" x14ac:dyDescent="0.2">
      <c r="B28" s="165" t="s">
        <v>5</v>
      </c>
      <c r="C28" s="166">
        <f>64+130</f>
        <v>194</v>
      </c>
      <c r="D28" s="167">
        <f>42745+50669</f>
        <v>93414</v>
      </c>
      <c r="E28" s="168">
        <v>379679</v>
      </c>
      <c r="F28" s="168">
        <v>139370</v>
      </c>
      <c r="G28" s="168">
        <v>150205</v>
      </c>
      <c r="H28" s="168">
        <v>6316</v>
      </c>
      <c r="I28" s="155">
        <f t="shared" ref="I28" si="2">SUM(E28:H28)</f>
        <v>675570</v>
      </c>
      <c r="J28" s="156"/>
      <c r="K28" s="150"/>
      <c r="L28" s="150"/>
      <c r="M28" s="150"/>
      <c r="N28" s="4"/>
    </row>
    <row r="29" spans="1:14" s="1" customFormat="1" ht="14.25" x14ac:dyDescent="0.2">
      <c r="B29" s="162" t="s">
        <v>127</v>
      </c>
      <c r="C29" s="163">
        <f t="shared" ref="C29:I29" si="3">SUM(C28:C28)</f>
        <v>194</v>
      </c>
      <c r="D29" s="163">
        <f t="shared" si="3"/>
        <v>93414</v>
      </c>
      <c r="E29" s="163">
        <f t="shared" si="3"/>
        <v>379679</v>
      </c>
      <c r="F29" s="163">
        <f t="shared" si="3"/>
        <v>139370</v>
      </c>
      <c r="G29" s="163">
        <f t="shared" si="3"/>
        <v>150205</v>
      </c>
      <c r="H29" s="163">
        <f t="shared" si="3"/>
        <v>6316</v>
      </c>
      <c r="I29" s="163">
        <f t="shared" si="3"/>
        <v>675570</v>
      </c>
      <c r="J29" s="169"/>
      <c r="K29" s="156"/>
      <c r="L29" s="150"/>
      <c r="M29" s="150"/>
    </row>
    <row r="30" spans="1:14" s="1" customFormat="1" ht="14.25" x14ac:dyDescent="0.2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56"/>
      <c r="L30" s="150"/>
      <c r="M30" s="150"/>
    </row>
    <row r="31" spans="1:14" s="1" customFormat="1" ht="14.25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56"/>
      <c r="L31" s="150"/>
      <c r="M31" s="150"/>
    </row>
    <row r="32" spans="1:14" s="1" customFormat="1" ht="18.75" customHeight="1" x14ac:dyDescent="0.2">
      <c r="B32" s="147" t="s">
        <v>128</v>
      </c>
      <c r="C32" s="148"/>
      <c r="D32" s="148"/>
      <c r="E32" s="143"/>
      <c r="F32" s="143"/>
      <c r="G32" s="143"/>
      <c r="H32" s="143"/>
      <c r="I32" s="143"/>
      <c r="J32" s="143"/>
      <c r="K32" s="156"/>
      <c r="L32" s="150"/>
      <c r="M32" s="150"/>
    </row>
    <row r="33" spans="2:13" s="1" customFormat="1" ht="14.25" x14ac:dyDescent="0.2">
      <c r="B33" s="143"/>
      <c r="C33" s="143"/>
      <c r="D33" s="143"/>
      <c r="E33" s="143"/>
      <c r="F33" s="143"/>
      <c r="G33" s="143"/>
      <c r="H33" s="145"/>
      <c r="I33" s="146"/>
      <c r="J33" s="143"/>
      <c r="K33" s="156"/>
      <c r="L33" s="150"/>
      <c r="M33" s="150"/>
    </row>
    <row r="34" spans="2:13" s="1" customFormat="1" ht="14.25" x14ac:dyDescent="0.2">
      <c r="B34" s="575" t="s">
        <v>109</v>
      </c>
      <c r="C34" s="573" t="s">
        <v>52</v>
      </c>
      <c r="D34" s="573"/>
      <c r="E34" s="573"/>
      <c r="F34" s="573"/>
      <c r="G34" s="573"/>
      <c r="H34" s="170"/>
      <c r="I34" s="171"/>
      <c r="J34" s="172"/>
      <c r="K34" s="172"/>
      <c r="L34" s="172"/>
      <c r="M34" s="172"/>
    </row>
    <row r="35" spans="2:13" s="1" customFormat="1" ht="14.25" x14ac:dyDescent="0.2">
      <c r="B35" s="576"/>
      <c r="C35" s="173">
        <v>610</v>
      </c>
      <c r="D35" s="173">
        <v>620</v>
      </c>
      <c r="E35" s="173">
        <v>630</v>
      </c>
      <c r="F35" s="173">
        <v>640</v>
      </c>
      <c r="G35" s="173" t="s">
        <v>96</v>
      </c>
      <c r="H35" s="171"/>
      <c r="I35" s="171"/>
      <c r="J35" s="172"/>
      <c r="K35" s="172"/>
      <c r="L35" s="172"/>
      <c r="M35" s="172"/>
    </row>
    <row r="36" spans="2:13" s="1" customFormat="1" ht="14.25" x14ac:dyDescent="0.2">
      <c r="B36" s="151" t="s">
        <v>112</v>
      </c>
      <c r="C36" s="154">
        <v>24822</v>
      </c>
      <c r="D36" s="154">
        <v>9055</v>
      </c>
      <c r="E36" s="154">
        <v>31443</v>
      </c>
      <c r="F36" s="154">
        <v>12</v>
      </c>
      <c r="G36" s="155">
        <f>SUM(C36:F36)</f>
        <v>65332</v>
      </c>
      <c r="H36" s="171"/>
      <c r="I36" s="174"/>
      <c r="J36" s="172"/>
      <c r="K36" s="172"/>
      <c r="L36" s="172"/>
      <c r="M36" s="172"/>
    </row>
    <row r="37" spans="2:13" s="1" customFormat="1" ht="14.25" x14ac:dyDescent="0.2">
      <c r="B37" s="151" t="s">
        <v>113</v>
      </c>
      <c r="C37" s="154">
        <v>37729</v>
      </c>
      <c r="D37" s="154">
        <v>12970</v>
      </c>
      <c r="E37" s="154">
        <v>54079</v>
      </c>
      <c r="F37" s="154">
        <v>517</v>
      </c>
      <c r="G37" s="155">
        <f t="shared" ref="G37:G49" si="4">SUM(C37:F37)</f>
        <v>105295</v>
      </c>
      <c r="H37" s="171"/>
      <c r="I37" s="174"/>
      <c r="J37" s="172"/>
      <c r="K37" s="172"/>
      <c r="L37" s="172"/>
      <c r="M37" s="172"/>
    </row>
    <row r="38" spans="2:13" s="1" customFormat="1" ht="14.25" x14ac:dyDescent="0.2">
      <c r="B38" s="151" t="s">
        <v>114</v>
      </c>
      <c r="C38" s="154">
        <v>24820</v>
      </c>
      <c r="D38" s="154">
        <v>8629</v>
      </c>
      <c r="E38" s="154">
        <v>33335</v>
      </c>
      <c r="F38" s="154">
        <v>517</v>
      </c>
      <c r="G38" s="155">
        <f t="shared" si="4"/>
        <v>67301</v>
      </c>
      <c r="H38" s="171"/>
      <c r="I38" s="174"/>
      <c r="J38" s="172"/>
      <c r="K38" s="172"/>
      <c r="L38" s="175"/>
      <c r="M38" s="172"/>
    </row>
    <row r="39" spans="2:13" s="1" customFormat="1" ht="14.25" x14ac:dyDescent="0.2">
      <c r="B39" s="151" t="s">
        <v>115</v>
      </c>
      <c r="C39" s="154">
        <v>26422</v>
      </c>
      <c r="D39" s="154">
        <v>9625</v>
      </c>
      <c r="E39" s="154">
        <v>40460</v>
      </c>
      <c r="F39" s="154">
        <v>92</v>
      </c>
      <c r="G39" s="155">
        <f t="shared" si="4"/>
        <v>76599</v>
      </c>
      <c r="H39" s="171"/>
      <c r="I39" s="174"/>
      <c r="J39" s="172"/>
      <c r="K39" s="172"/>
      <c r="L39" s="172"/>
      <c r="M39" s="172"/>
    </row>
    <row r="40" spans="2:13" s="1" customFormat="1" ht="14.25" x14ac:dyDescent="0.2">
      <c r="B40" s="151" t="s">
        <v>116</v>
      </c>
      <c r="C40" s="154">
        <v>27602</v>
      </c>
      <c r="D40" s="154">
        <v>10216</v>
      </c>
      <c r="E40" s="154">
        <v>35350</v>
      </c>
      <c r="F40" s="154">
        <v>33</v>
      </c>
      <c r="G40" s="155">
        <f t="shared" si="4"/>
        <v>73201</v>
      </c>
      <c r="H40" s="171"/>
      <c r="I40" s="174"/>
      <c r="J40" s="172"/>
      <c r="K40" s="172"/>
      <c r="L40" s="172"/>
      <c r="M40" s="172"/>
    </row>
    <row r="41" spans="2:13" s="1" customFormat="1" ht="14.25" x14ac:dyDescent="0.2">
      <c r="B41" s="151" t="s">
        <v>117</v>
      </c>
      <c r="C41" s="154">
        <v>42623</v>
      </c>
      <c r="D41" s="154">
        <v>14985</v>
      </c>
      <c r="E41" s="154">
        <v>55914</v>
      </c>
      <c r="F41" s="154">
        <v>590</v>
      </c>
      <c r="G41" s="155">
        <f t="shared" si="4"/>
        <v>114112</v>
      </c>
      <c r="H41" s="171"/>
      <c r="I41" s="174"/>
      <c r="J41" s="172"/>
      <c r="K41" s="172"/>
      <c r="L41" s="172"/>
      <c r="M41" s="172"/>
    </row>
    <row r="42" spans="2:13" s="1" customFormat="1" ht="14.25" x14ac:dyDescent="0.2">
      <c r="B42" s="151" t="s">
        <v>5</v>
      </c>
      <c r="C42" s="154">
        <v>46951</v>
      </c>
      <c r="D42" s="154">
        <v>17580</v>
      </c>
      <c r="E42" s="154">
        <v>63760</v>
      </c>
      <c r="F42" s="154">
        <v>155</v>
      </c>
      <c r="G42" s="155">
        <f t="shared" si="4"/>
        <v>128446</v>
      </c>
      <c r="H42" s="171"/>
      <c r="I42" s="174"/>
      <c r="J42" s="172"/>
      <c r="K42" s="172"/>
      <c r="L42" s="172"/>
      <c r="M42" s="172"/>
    </row>
    <row r="43" spans="2:13" s="1" customFormat="1" ht="14.25" x14ac:dyDescent="0.2">
      <c r="B43" s="151" t="s">
        <v>118</v>
      </c>
      <c r="C43" s="154">
        <v>45707</v>
      </c>
      <c r="D43" s="154">
        <v>14788</v>
      </c>
      <c r="E43" s="154">
        <v>58137</v>
      </c>
      <c r="F43" s="154">
        <v>561</v>
      </c>
      <c r="G43" s="155">
        <f t="shared" si="4"/>
        <v>119193</v>
      </c>
      <c r="H43" s="171"/>
      <c r="I43" s="174"/>
      <c r="J43" s="172"/>
      <c r="K43" s="172"/>
      <c r="L43" s="172"/>
      <c r="M43" s="172"/>
    </row>
    <row r="44" spans="2:13" s="1" customFormat="1" ht="14.25" x14ac:dyDescent="0.2">
      <c r="B44" s="151" t="s">
        <v>119</v>
      </c>
      <c r="C44" s="154">
        <v>27591</v>
      </c>
      <c r="D44" s="154">
        <v>9945</v>
      </c>
      <c r="E44" s="154">
        <v>30309</v>
      </c>
      <c r="F44" s="154">
        <v>178</v>
      </c>
      <c r="G44" s="155">
        <f t="shared" si="4"/>
        <v>68023</v>
      </c>
      <c r="H44" s="171"/>
      <c r="I44" s="174"/>
      <c r="J44" s="172"/>
      <c r="K44" s="172"/>
      <c r="L44" s="172"/>
      <c r="M44" s="172"/>
    </row>
    <row r="45" spans="2:13" s="1" customFormat="1" ht="14.25" x14ac:dyDescent="0.2">
      <c r="B45" s="151" t="s">
        <v>120</v>
      </c>
      <c r="C45" s="154">
        <v>36123</v>
      </c>
      <c r="D45" s="154">
        <v>13300</v>
      </c>
      <c r="E45" s="154">
        <v>45760</v>
      </c>
      <c r="F45" s="154">
        <v>2045</v>
      </c>
      <c r="G45" s="155">
        <f t="shared" si="4"/>
        <v>97228</v>
      </c>
      <c r="H45" s="171"/>
      <c r="I45" s="174"/>
      <c r="J45" s="172"/>
      <c r="K45" s="172"/>
      <c r="L45" s="172"/>
      <c r="M45" s="172"/>
    </row>
    <row r="46" spans="2:13" s="1" customFormat="1" ht="14.25" x14ac:dyDescent="0.2">
      <c r="B46" s="151" t="s">
        <v>121</v>
      </c>
      <c r="C46" s="154">
        <v>37489</v>
      </c>
      <c r="D46" s="154">
        <v>13925</v>
      </c>
      <c r="E46" s="154">
        <v>49283</v>
      </c>
      <c r="F46" s="154">
        <v>36</v>
      </c>
      <c r="G46" s="155">
        <f t="shared" si="4"/>
        <v>100733</v>
      </c>
      <c r="H46" s="171"/>
      <c r="I46" s="174"/>
      <c r="J46" s="172"/>
      <c r="K46" s="172"/>
      <c r="L46" s="172"/>
      <c r="M46" s="172"/>
    </row>
    <row r="47" spans="2:13" s="1" customFormat="1" ht="14.25" x14ac:dyDescent="0.2">
      <c r="B47" s="151" t="s">
        <v>122</v>
      </c>
      <c r="C47" s="154">
        <v>32139</v>
      </c>
      <c r="D47" s="154">
        <v>11648</v>
      </c>
      <c r="E47" s="154">
        <v>30849</v>
      </c>
      <c r="F47" s="154">
        <v>200</v>
      </c>
      <c r="G47" s="155">
        <f t="shared" si="4"/>
        <v>74836</v>
      </c>
      <c r="H47" s="171"/>
      <c r="I47" s="174"/>
      <c r="J47" s="172"/>
      <c r="K47" s="172"/>
      <c r="L47" s="172"/>
      <c r="M47" s="172"/>
    </row>
    <row r="48" spans="2:13" s="1" customFormat="1" ht="14.25" x14ac:dyDescent="0.2">
      <c r="B48" s="151" t="s">
        <v>123</v>
      </c>
      <c r="C48" s="154">
        <v>21059</v>
      </c>
      <c r="D48" s="154">
        <v>7571</v>
      </c>
      <c r="E48" s="154">
        <v>18670</v>
      </c>
      <c r="F48" s="154">
        <v>176</v>
      </c>
      <c r="G48" s="155">
        <f t="shared" si="4"/>
        <v>47476</v>
      </c>
      <c r="H48" s="171"/>
      <c r="I48" s="174"/>
      <c r="J48" s="172"/>
      <c r="K48" s="172"/>
      <c r="L48" s="172"/>
      <c r="M48" s="172"/>
    </row>
    <row r="49" spans="2:13" s="1" customFormat="1" ht="14.25" x14ac:dyDescent="0.2">
      <c r="B49" s="157" t="s">
        <v>124</v>
      </c>
      <c r="C49" s="160">
        <v>23435</v>
      </c>
      <c r="D49" s="160">
        <v>9642</v>
      </c>
      <c r="E49" s="160">
        <v>26713</v>
      </c>
      <c r="F49" s="160">
        <v>4611</v>
      </c>
      <c r="G49" s="155">
        <f t="shared" si="4"/>
        <v>64401</v>
      </c>
      <c r="H49" s="171"/>
      <c r="I49" s="174"/>
      <c r="J49" s="172"/>
      <c r="K49" s="172"/>
      <c r="L49" s="172"/>
      <c r="M49" s="172"/>
    </row>
    <row r="50" spans="2:13" s="1" customFormat="1" ht="20.25" customHeight="1" x14ac:dyDescent="0.2">
      <c r="B50" s="162" t="s">
        <v>127</v>
      </c>
      <c r="C50" s="176">
        <f>SUM(C35:C49)</f>
        <v>455122</v>
      </c>
      <c r="D50" s="176">
        <f t="shared" ref="D50:F50" si="5">SUM(D35:D49)</f>
        <v>164499</v>
      </c>
      <c r="E50" s="176">
        <f t="shared" si="5"/>
        <v>574692</v>
      </c>
      <c r="F50" s="176">
        <f t="shared" si="5"/>
        <v>10363</v>
      </c>
      <c r="G50" s="176">
        <f>SUM(G35:G49)</f>
        <v>1202176</v>
      </c>
      <c r="H50" s="143"/>
      <c r="I50" s="174"/>
      <c r="J50" s="172"/>
      <c r="K50" s="172"/>
      <c r="L50" s="172"/>
      <c r="M50" s="172"/>
    </row>
    <row r="51" spans="2:13" s="1" customFormat="1" ht="14.25" x14ac:dyDescent="0.2">
      <c r="B51" s="177"/>
      <c r="C51" s="178"/>
      <c r="D51" s="178"/>
      <c r="E51" s="178"/>
      <c r="F51" s="178"/>
      <c r="G51" s="178"/>
      <c r="H51" s="178"/>
      <c r="I51" s="143"/>
      <c r="J51" s="172"/>
      <c r="K51" s="172"/>
      <c r="L51" s="172"/>
      <c r="M51" s="172"/>
    </row>
    <row r="52" spans="2:13" s="1" customFormat="1" ht="14.25" x14ac:dyDescent="0.2">
      <c r="B52" s="177"/>
      <c r="C52" s="178"/>
      <c r="D52" s="178"/>
      <c r="E52" s="178"/>
      <c r="F52" s="178"/>
      <c r="G52" s="178"/>
      <c r="H52" s="178"/>
      <c r="I52" s="143"/>
      <c r="J52" s="172"/>
      <c r="K52" s="172"/>
      <c r="L52" s="172"/>
      <c r="M52" s="172"/>
    </row>
    <row r="53" spans="2:13" s="1" customFormat="1" ht="14.25" x14ac:dyDescent="0.2">
      <c r="B53" s="177"/>
      <c r="C53" s="178"/>
      <c r="D53" s="178"/>
      <c r="E53" s="178"/>
      <c r="F53" s="178"/>
      <c r="G53" s="178"/>
      <c r="H53" s="178"/>
      <c r="I53" s="143"/>
      <c r="J53" s="172"/>
      <c r="K53" s="172"/>
      <c r="L53" s="172"/>
      <c r="M53" s="172"/>
    </row>
    <row r="54" spans="2:13" s="1" customFormat="1" ht="14.25" x14ac:dyDescent="0.2">
      <c r="B54" s="177"/>
      <c r="C54" s="178"/>
      <c r="D54" s="178"/>
      <c r="E54" s="178"/>
      <c r="F54" s="178"/>
      <c r="G54" s="178"/>
      <c r="H54" s="178"/>
      <c r="I54" s="143"/>
      <c r="J54" s="172"/>
      <c r="K54" s="172"/>
      <c r="L54" s="172"/>
      <c r="M54" s="172"/>
    </row>
    <row r="55" spans="2:13" s="1" customFormat="1" ht="14.25" x14ac:dyDescent="0.2">
      <c r="B55" s="177"/>
      <c r="C55" s="178"/>
      <c r="D55" s="178"/>
      <c r="E55" s="178"/>
      <c r="F55" s="178"/>
      <c r="G55" s="178"/>
      <c r="H55" s="178"/>
      <c r="I55" s="143"/>
      <c r="J55" s="172"/>
      <c r="K55" s="172"/>
      <c r="L55" s="172"/>
      <c r="M55" s="172"/>
    </row>
    <row r="56" spans="2:13" s="1" customFormat="1" ht="14.25" x14ac:dyDescent="0.2">
      <c r="B56" s="143"/>
      <c r="C56" s="143"/>
      <c r="D56" s="143"/>
      <c r="E56" s="143"/>
      <c r="F56" s="143"/>
      <c r="G56" s="143"/>
      <c r="H56" s="143"/>
      <c r="I56" s="143"/>
      <c r="J56" s="169"/>
      <c r="K56" s="144"/>
      <c r="L56" s="150"/>
      <c r="M56" s="150"/>
    </row>
    <row r="57" spans="2:13" s="1" customFormat="1" ht="21.75" customHeight="1" x14ac:dyDescent="0.2">
      <c r="B57" s="574" t="s">
        <v>129</v>
      </c>
      <c r="C57" s="574"/>
      <c r="D57" s="574"/>
      <c r="E57" s="574"/>
      <c r="F57" s="574"/>
      <c r="G57" s="574"/>
      <c r="H57" s="574"/>
      <c r="I57" s="143"/>
      <c r="J57" s="169"/>
      <c r="K57" s="144"/>
      <c r="L57" s="150"/>
      <c r="M57" s="150"/>
    </row>
    <row r="58" spans="2:13" s="1" customFormat="1" ht="14.25" x14ac:dyDescent="0.2">
      <c r="B58" s="143"/>
      <c r="C58" s="143"/>
      <c r="D58" s="143"/>
      <c r="E58" s="143"/>
      <c r="F58" s="143"/>
      <c r="G58" s="143"/>
      <c r="H58" s="145"/>
      <c r="I58" s="143"/>
      <c r="J58" s="143"/>
      <c r="K58" s="144"/>
      <c r="L58" s="150"/>
      <c r="M58" s="150"/>
    </row>
    <row r="59" spans="2:13" s="1" customFormat="1" ht="14.25" x14ac:dyDescent="0.2">
      <c r="B59" s="575" t="s">
        <v>109</v>
      </c>
      <c r="C59" s="573" t="s">
        <v>52</v>
      </c>
      <c r="D59" s="573"/>
      <c r="E59" s="573"/>
      <c r="F59" s="573"/>
      <c r="G59" s="573"/>
      <c r="H59" s="170"/>
      <c r="I59" s="143"/>
      <c r="J59" s="143"/>
      <c r="K59" s="179"/>
      <c r="L59" s="150"/>
      <c r="M59" s="150"/>
    </row>
    <row r="60" spans="2:13" s="1" customFormat="1" ht="14.25" x14ac:dyDescent="0.2">
      <c r="B60" s="576"/>
      <c r="C60" s="173">
        <v>610</v>
      </c>
      <c r="D60" s="173">
        <v>620</v>
      </c>
      <c r="E60" s="173">
        <v>630</v>
      </c>
      <c r="F60" s="173">
        <v>640</v>
      </c>
      <c r="G60" s="173" t="s">
        <v>96</v>
      </c>
      <c r="H60" s="143"/>
      <c r="I60" s="143"/>
      <c r="J60" s="144"/>
      <c r="K60" s="150"/>
      <c r="L60" s="150"/>
      <c r="M60" s="150"/>
    </row>
    <row r="61" spans="2:13" s="1" customFormat="1" ht="14.25" x14ac:dyDescent="0.2">
      <c r="B61" s="151" t="s">
        <v>112</v>
      </c>
      <c r="C61" s="180">
        <f t="shared" ref="C61:F66" si="6">C36+E10</f>
        <v>146524</v>
      </c>
      <c r="D61" s="180">
        <f t="shared" si="6"/>
        <v>53880</v>
      </c>
      <c r="E61" s="180">
        <f t="shared" si="6"/>
        <v>105460</v>
      </c>
      <c r="F61" s="180">
        <f t="shared" si="6"/>
        <v>3852</v>
      </c>
      <c r="G61" s="181">
        <f>SUM(C61:F61)</f>
        <v>309716</v>
      </c>
      <c r="H61" s="143"/>
      <c r="I61" s="143"/>
      <c r="J61" s="144"/>
      <c r="K61" s="150"/>
      <c r="L61" s="150"/>
      <c r="M61" s="150"/>
    </row>
    <row r="62" spans="2:13" s="1" customFormat="1" ht="14.25" x14ac:dyDescent="0.2">
      <c r="B62" s="151" t="s">
        <v>113</v>
      </c>
      <c r="C62" s="180">
        <f t="shared" si="6"/>
        <v>251912</v>
      </c>
      <c r="D62" s="180">
        <f t="shared" si="6"/>
        <v>91088</v>
      </c>
      <c r="E62" s="180">
        <f t="shared" si="6"/>
        <v>156249</v>
      </c>
      <c r="F62" s="180">
        <f t="shared" si="6"/>
        <v>3314</v>
      </c>
      <c r="G62" s="181">
        <f t="shared" ref="G62:G76" si="7">SUM(C62:F62)</f>
        <v>502563</v>
      </c>
      <c r="H62" s="143"/>
      <c r="I62" s="143"/>
      <c r="J62" s="144"/>
      <c r="K62" s="150"/>
      <c r="L62" s="150"/>
      <c r="M62" s="150"/>
    </row>
    <row r="63" spans="2:13" s="1" customFormat="1" ht="14.25" x14ac:dyDescent="0.2">
      <c r="B63" s="151" t="s">
        <v>114</v>
      </c>
      <c r="C63" s="180">
        <f t="shared" si="6"/>
        <v>136521</v>
      </c>
      <c r="D63" s="180">
        <f t="shared" si="6"/>
        <v>49576</v>
      </c>
      <c r="E63" s="180">
        <f t="shared" si="6"/>
        <v>106025</v>
      </c>
      <c r="F63" s="180">
        <f t="shared" si="6"/>
        <v>7717</v>
      </c>
      <c r="G63" s="181">
        <f t="shared" si="7"/>
        <v>299839</v>
      </c>
      <c r="H63" s="143"/>
      <c r="I63" s="143"/>
      <c r="J63" s="144"/>
      <c r="K63" s="150"/>
      <c r="L63" s="150"/>
      <c r="M63" s="150"/>
    </row>
    <row r="64" spans="2:13" s="1" customFormat="1" ht="14.25" x14ac:dyDescent="0.2">
      <c r="B64" s="151" t="s">
        <v>115</v>
      </c>
      <c r="C64" s="180">
        <f t="shared" si="6"/>
        <v>180921</v>
      </c>
      <c r="D64" s="180">
        <f t="shared" si="6"/>
        <v>65902</v>
      </c>
      <c r="E64" s="180">
        <f t="shared" si="6"/>
        <v>129906</v>
      </c>
      <c r="F64" s="180">
        <f t="shared" si="6"/>
        <v>3007</v>
      </c>
      <c r="G64" s="181">
        <f t="shared" si="7"/>
        <v>379736</v>
      </c>
      <c r="H64" s="143"/>
      <c r="I64" s="143"/>
      <c r="J64" s="144"/>
      <c r="K64" s="150"/>
      <c r="L64" s="150"/>
      <c r="M64" s="150"/>
    </row>
    <row r="65" spans="2:13" s="1" customFormat="1" ht="14.25" x14ac:dyDescent="0.2">
      <c r="B65" s="151" t="s">
        <v>116</v>
      </c>
      <c r="C65" s="180">
        <f t="shared" si="6"/>
        <v>176209</v>
      </c>
      <c r="D65" s="180">
        <f t="shared" si="6"/>
        <v>64944</v>
      </c>
      <c r="E65" s="180">
        <f t="shared" si="6"/>
        <v>123521</v>
      </c>
      <c r="F65" s="180">
        <f t="shared" si="6"/>
        <v>1329</v>
      </c>
      <c r="G65" s="181">
        <f t="shared" si="7"/>
        <v>366003</v>
      </c>
      <c r="H65" s="143"/>
      <c r="I65" s="143"/>
      <c r="J65" s="144"/>
      <c r="K65" s="150"/>
      <c r="L65" s="150"/>
      <c r="M65" s="150"/>
    </row>
    <row r="66" spans="2:13" s="1" customFormat="1" ht="14.25" x14ac:dyDescent="0.2">
      <c r="B66" s="151" t="s">
        <v>117</v>
      </c>
      <c r="C66" s="180">
        <f t="shared" si="6"/>
        <v>288625</v>
      </c>
      <c r="D66" s="180">
        <f t="shared" si="6"/>
        <v>104715</v>
      </c>
      <c r="E66" s="180">
        <f t="shared" si="6"/>
        <v>166247</v>
      </c>
      <c r="F66" s="180">
        <f t="shared" si="6"/>
        <v>6587</v>
      </c>
      <c r="G66" s="181">
        <f t="shared" si="7"/>
        <v>566174</v>
      </c>
      <c r="H66" s="143"/>
      <c r="I66" s="143"/>
      <c r="J66" s="144"/>
      <c r="K66" s="150"/>
      <c r="L66" s="150"/>
      <c r="M66" s="150"/>
    </row>
    <row r="67" spans="2:13" s="1" customFormat="1" ht="14.25" x14ac:dyDescent="0.2">
      <c r="B67" s="151" t="s">
        <v>5</v>
      </c>
      <c r="C67" s="180">
        <f>E28+C42</f>
        <v>426630</v>
      </c>
      <c r="D67" s="180">
        <f>F28+D42</f>
        <v>156950</v>
      </c>
      <c r="E67" s="180">
        <f>G28+E42</f>
        <v>213965</v>
      </c>
      <c r="F67" s="180">
        <f>H28+F42</f>
        <v>6471</v>
      </c>
      <c r="G67" s="181">
        <f t="shared" si="7"/>
        <v>804016</v>
      </c>
      <c r="H67" s="143"/>
      <c r="I67" s="143"/>
      <c r="J67" s="144"/>
      <c r="K67" s="150"/>
      <c r="L67" s="150"/>
      <c r="M67" s="150"/>
    </row>
    <row r="68" spans="2:13" s="1" customFormat="1" ht="14.25" x14ac:dyDescent="0.2">
      <c r="B68" s="151" t="s">
        <v>118</v>
      </c>
      <c r="C68" s="180">
        <f t="shared" ref="C68:F74" si="8">E16+C43</f>
        <v>260913</v>
      </c>
      <c r="D68" s="180">
        <f t="shared" si="8"/>
        <v>93287</v>
      </c>
      <c r="E68" s="180">
        <f t="shared" si="8"/>
        <v>221444</v>
      </c>
      <c r="F68" s="180">
        <f t="shared" si="8"/>
        <v>2605</v>
      </c>
      <c r="G68" s="181">
        <f t="shared" si="7"/>
        <v>578249</v>
      </c>
      <c r="H68" s="143"/>
      <c r="I68" s="143"/>
      <c r="J68" s="144"/>
      <c r="K68" s="150"/>
      <c r="L68" s="150"/>
      <c r="M68" s="150"/>
    </row>
    <row r="69" spans="2:13" s="1" customFormat="1" ht="14.25" x14ac:dyDescent="0.2">
      <c r="B69" s="151" t="s">
        <v>119</v>
      </c>
      <c r="C69" s="180">
        <f t="shared" si="8"/>
        <v>179294</v>
      </c>
      <c r="D69" s="180">
        <f t="shared" si="8"/>
        <v>66495</v>
      </c>
      <c r="E69" s="180">
        <f t="shared" si="8"/>
        <v>89171</v>
      </c>
      <c r="F69" s="180">
        <f t="shared" si="8"/>
        <v>4778</v>
      </c>
      <c r="G69" s="181">
        <f t="shared" si="7"/>
        <v>339738</v>
      </c>
      <c r="H69" s="143"/>
      <c r="I69" s="143"/>
      <c r="J69" s="144"/>
      <c r="K69" s="150"/>
      <c r="L69" s="150"/>
      <c r="M69" s="150"/>
    </row>
    <row r="70" spans="2:13" s="1" customFormat="1" ht="14.25" x14ac:dyDescent="0.2">
      <c r="B70" s="151" t="s">
        <v>120</v>
      </c>
      <c r="C70" s="180">
        <f t="shared" si="8"/>
        <v>255774</v>
      </c>
      <c r="D70" s="180">
        <f t="shared" si="8"/>
        <v>92006</v>
      </c>
      <c r="E70" s="180">
        <f t="shared" si="8"/>
        <v>137002</v>
      </c>
      <c r="F70" s="180">
        <f t="shared" si="8"/>
        <v>2641</v>
      </c>
      <c r="G70" s="181">
        <f t="shared" si="7"/>
        <v>487423</v>
      </c>
      <c r="H70" s="143"/>
      <c r="I70" s="143"/>
      <c r="J70" s="150"/>
      <c r="K70" s="150"/>
    </row>
    <row r="71" spans="2:13" s="1" customFormat="1" ht="14.25" x14ac:dyDescent="0.2">
      <c r="B71" s="151" t="s">
        <v>121</v>
      </c>
      <c r="C71" s="180">
        <f t="shared" si="8"/>
        <v>267924</v>
      </c>
      <c r="D71" s="180">
        <f t="shared" si="8"/>
        <v>99850</v>
      </c>
      <c r="E71" s="180">
        <f t="shared" si="8"/>
        <v>164399</v>
      </c>
      <c r="F71" s="180">
        <f t="shared" si="8"/>
        <v>5135</v>
      </c>
      <c r="G71" s="181">
        <f t="shared" si="7"/>
        <v>537308</v>
      </c>
      <c r="H71" s="143"/>
      <c r="I71" s="143"/>
      <c r="J71" s="150"/>
      <c r="K71" s="150"/>
    </row>
    <row r="72" spans="2:13" s="1" customFormat="1" ht="14.25" x14ac:dyDescent="0.2">
      <c r="B72" s="151" t="s">
        <v>122</v>
      </c>
      <c r="C72" s="180">
        <f t="shared" si="8"/>
        <v>223978</v>
      </c>
      <c r="D72" s="180">
        <f t="shared" si="8"/>
        <v>80723</v>
      </c>
      <c r="E72" s="180">
        <f t="shared" si="8"/>
        <v>103179</v>
      </c>
      <c r="F72" s="180">
        <f t="shared" si="8"/>
        <v>4475</v>
      </c>
      <c r="G72" s="181">
        <f t="shared" si="7"/>
        <v>412355</v>
      </c>
      <c r="H72" s="143"/>
      <c r="I72" s="143"/>
      <c r="J72" s="150"/>
      <c r="K72" s="150"/>
    </row>
    <row r="73" spans="2:13" s="1" customFormat="1" ht="14.25" x14ac:dyDescent="0.2">
      <c r="B73" s="151" t="s">
        <v>123</v>
      </c>
      <c r="C73" s="180">
        <f t="shared" si="8"/>
        <v>97510</v>
      </c>
      <c r="D73" s="180">
        <f t="shared" si="8"/>
        <v>34692</v>
      </c>
      <c r="E73" s="180">
        <f t="shared" si="8"/>
        <v>53750</v>
      </c>
      <c r="F73" s="180">
        <f t="shared" si="8"/>
        <v>746</v>
      </c>
      <c r="G73" s="181">
        <f t="shared" si="7"/>
        <v>186698</v>
      </c>
      <c r="H73" s="143"/>
      <c r="I73" s="143"/>
      <c r="J73" s="150"/>
      <c r="K73" s="150"/>
    </row>
    <row r="74" spans="2:13" s="1" customFormat="1" ht="14.25" x14ac:dyDescent="0.2">
      <c r="B74" s="151" t="s">
        <v>124</v>
      </c>
      <c r="C74" s="180">
        <f t="shared" si="8"/>
        <v>117350</v>
      </c>
      <c r="D74" s="180">
        <f t="shared" si="8"/>
        <v>46073</v>
      </c>
      <c r="E74" s="180">
        <f t="shared" si="8"/>
        <v>65912</v>
      </c>
      <c r="F74" s="180">
        <f t="shared" si="8"/>
        <v>12125</v>
      </c>
      <c r="G74" s="181">
        <f t="shared" si="7"/>
        <v>241460</v>
      </c>
      <c r="H74" s="143"/>
      <c r="I74" s="143"/>
      <c r="J74" s="150"/>
      <c r="K74" s="150"/>
    </row>
    <row r="75" spans="2:13" s="1" customFormat="1" ht="14.25" x14ac:dyDescent="0.2">
      <c r="B75" s="151" t="s">
        <v>125</v>
      </c>
      <c r="C75" s="180">
        <f t="shared" ref="C75:F76" si="9">E23</f>
        <v>100306</v>
      </c>
      <c r="D75" s="180">
        <f t="shared" si="9"/>
        <v>36455</v>
      </c>
      <c r="E75" s="180">
        <f t="shared" si="9"/>
        <v>44015</v>
      </c>
      <c r="F75" s="180">
        <f t="shared" si="9"/>
        <v>838</v>
      </c>
      <c r="G75" s="181">
        <f t="shared" si="7"/>
        <v>181614</v>
      </c>
      <c r="H75" s="143"/>
      <c r="I75" s="143"/>
      <c r="J75" s="150"/>
      <c r="K75" s="150"/>
    </row>
    <row r="76" spans="2:13" s="1" customFormat="1" ht="14.25" x14ac:dyDescent="0.2">
      <c r="B76" s="157" t="s">
        <v>126</v>
      </c>
      <c r="C76" s="180">
        <f t="shared" si="9"/>
        <v>304544</v>
      </c>
      <c r="D76" s="180">
        <f t="shared" si="9"/>
        <v>112194</v>
      </c>
      <c r="E76" s="180">
        <f t="shared" si="9"/>
        <v>105761</v>
      </c>
      <c r="F76" s="180">
        <f t="shared" si="9"/>
        <v>1718</v>
      </c>
      <c r="G76" s="181">
        <f t="shared" si="7"/>
        <v>524217</v>
      </c>
      <c r="H76" s="143"/>
      <c r="I76" s="143"/>
      <c r="J76" s="150"/>
      <c r="K76" s="150"/>
    </row>
    <row r="77" spans="2:13" s="161" customFormat="1" ht="21.75" customHeight="1" x14ac:dyDescent="0.25">
      <c r="B77" s="162" t="s">
        <v>127</v>
      </c>
      <c r="C77" s="176">
        <f>SUM(C61:C76)</f>
        <v>3414935</v>
      </c>
      <c r="D77" s="176">
        <f t="shared" ref="D77:G77" si="10">SUM(D61:D76)</f>
        <v>1248830</v>
      </c>
      <c r="E77" s="176">
        <f t="shared" si="10"/>
        <v>1986006</v>
      </c>
      <c r="F77" s="176">
        <f t="shared" si="10"/>
        <v>67338</v>
      </c>
      <c r="G77" s="176">
        <f t="shared" si="10"/>
        <v>6717109</v>
      </c>
      <c r="I77" s="182"/>
      <c r="J77" s="182"/>
      <c r="K77" s="182"/>
    </row>
    <row r="78" spans="2:13" s="1" customFormat="1" ht="14.25" x14ac:dyDescent="0.2">
      <c r="B78" s="143"/>
      <c r="C78" s="143"/>
      <c r="D78" s="143"/>
      <c r="E78" s="143"/>
      <c r="F78" s="143"/>
      <c r="G78" s="143"/>
      <c r="H78" s="143"/>
      <c r="I78" s="169"/>
      <c r="J78" s="143"/>
      <c r="K78" s="150"/>
    </row>
    <row r="79" spans="2:13" s="1" customFormat="1" ht="12" customHeight="1" x14ac:dyDescent="0.2">
      <c r="B79" s="143"/>
      <c r="C79" s="169"/>
      <c r="D79" s="169"/>
      <c r="E79" s="169"/>
      <c r="F79" s="169"/>
      <c r="G79" s="169"/>
      <c r="H79" s="169"/>
      <c r="I79" s="143"/>
      <c r="J79" s="143"/>
      <c r="K79" s="150"/>
    </row>
    <row r="80" spans="2:13" s="1" customFormat="1" ht="14.25" x14ac:dyDescent="0.2">
      <c r="B80" s="143"/>
      <c r="C80" s="143"/>
      <c r="D80" s="143"/>
      <c r="E80" s="143"/>
      <c r="F80" s="169"/>
      <c r="G80" s="169"/>
      <c r="H80" s="143"/>
      <c r="I80" s="143"/>
      <c r="J80" s="143"/>
      <c r="K80" s="150"/>
    </row>
    <row r="81" spans="2:11" s="1" customFormat="1" ht="14.25" x14ac:dyDescent="0.2">
      <c r="B81" s="143"/>
      <c r="C81" s="143"/>
      <c r="D81" s="143"/>
      <c r="E81" s="143"/>
      <c r="F81" s="143"/>
      <c r="G81" s="169"/>
      <c r="H81" s="143"/>
      <c r="I81" s="143"/>
      <c r="J81" s="143"/>
      <c r="K81" s="150"/>
    </row>
    <row r="89" spans="2:11" x14ac:dyDescent="0.2">
      <c r="D89" s="169"/>
    </row>
  </sheetData>
  <mergeCells count="15">
    <mergeCell ref="C34:G34"/>
    <mergeCell ref="B57:H57"/>
    <mergeCell ref="B59:B60"/>
    <mergeCell ref="C59:G59"/>
    <mergeCell ref="B3:I3"/>
    <mergeCell ref="B7:B9"/>
    <mergeCell ref="C7:C9"/>
    <mergeCell ref="D7:D9"/>
    <mergeCell ref="E7:I7"/>
    <mergeCell ref="E8:E9"/>
    <mergeCell ref="F8:F9"/>
    <mergeCell ref="G8:G9"/>
    <mergeCell ref="H8:H9"/>
    <mergeCell ref="I8:I9"/>
    <mergeCell ref="B34:B35"/>
  </mergeCells>
  <pageMargins left="0.43307086614173229" right="0.23622047244094491" top="0.55118110236220474" bottom="0.55118110236220474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7:P413"/>
  <sheetViews>
    <sheetView workbookViewId="0"/>
  </sheetViews>
  <sheetFormatPr defaultRowHeight="12.75" x14ac:dyDescent="0.2"/>
  <cols>
    <col min="1" max="1" width="5.42578125" style="35" customWidth="1"/>
    <col min="2" max="2" width="24" style="35" customWidth="1"/>
    <col min="3" max="4" width="13" style="35" customWidth="1"/>
    <col min="5" max="5" width="11" style="35" customWidth="1"/>
    <col min="6" max="6" width="12" style="35" bestFit="1" customWidth="1"/>
    <col min="7" max="8" width="13.140625" style="35" customWidth="1"/>
    <col min="9" max="9" width="11.42578125" style="35" customWidth="1"/>
    <col min="10" max="10" width="10.85546875" style="35" customWidth="1"/>
    <col min="11" max="11" width="10.28515625" style="35" customWidth="1"/>
    <col min="12" max="12" width="11.5703125" style="35" customWidth="1"/>
    <col min="13" max="13" width="12" style="35" customWidth="1"/>
    <col min="14" max="14" width="12.5703125" style="35" customWidth="1"/>
    <col min="15" max="15" width="13.5703125" style="35" customWidth="1"/>
    <col min="16" max="16" width="9.140625" style="35" customWidth="1"/>
    <col min="17" max="16384" width="9.140625" style="35"/>
  </cols>
  <sheetData>
    <row r="7" spans="2:15" ht="18" x14ac:dyDescent="0.25">
      <c r="B7" s="203" t="s">
        <v>130</v>
      </c>
      <c r="J7" s="35" t="s">
        <v>131</v>
      </c>
    </row>
    <row r="8" spans="2:15" ht="14.25" customHeight="1" x14ac:dyDescent="0.2"/>
    <row r="9" spans="2:15" s="76" customFormat="1" ht="22.5" customHeight="1" x14ac:dyDescent="0.25">
      <c r="B9" s="572" t="s">
        <v>100</v>
      </c>
      <c r="C9" s="572"/>
      <c r="D9" s="572"/>
      <c r="E9" s="572"/>
      <c r="F9" s="204"/>
    </row>
    <row r="10" spans="2:15" x14ac:dyDescent="0.2">
      <c r="B10" s="562" t="s">
        <v>132</v>
      </c>
      <c r="C10" s="562"/>
      <c r="D10" s="562"/>
      <c r="E10" s="26">
        <v>48659.92</v>
      </c>
      <c r="F10" s="58"/>
    </row>
    <row r="11" spans="2:15" x14ac:dyDescent="0.2">
      <c r="B11" s="562" t="s">
        <v>133</v>
      </c>
      <c r="C11" s="562"/>
      <c r="D11" s="562"/>
      <c r="E11" s="26">
        <v>68397.8</v>
      </c>
      <c r="F11" s="58"/>
    </row>
    <row r="12" spans="2:15" x14ac:dyDescent="0.2">
      <c r="B12" s="562" t="s">
        <v>134</v>
      </c>
      <c r="C12" s="562"/>
      <c r="D12" s="562"/>
      <c r="E12" s="26">
        <v>37684.54</v>
      </c>
      <c r="F12" s="58"/>
    </row>
    <row r="13" spans="2:15" s="196" customFormat="1" x14ac:dyDescent="0.25">
      <c r="B13" s="589" t="s">
        <v>104</v>
      </c>
      <c r="C13" s="589"/>
      <c r="D13" s="589"/>
      <c r="E13" s="41">
        <v>105375.83</v>
      </c>
      <c r="F13" s="205"/>
    </row>
    <row r="14" spans="2:15" s="76" customFormat="1" ht="16.5" customHeight="1" x14ac:dyDescent="0.25">
      <c r="B14" s="570" t="s">
        <v>96</v>
      </c>
      <c r="C14" s="570"/>
      <c r="D14" s="570"/>
      <c r="E14" s="45">
        <f>SUM(E10:E13)</f>
        <v>260118.09000000003</v>
      </c>
      <c r="F14" s="66"/>
    </row>
    <row r="15" spans="2:15" s="1" customFormat="1" ht="15" customHeigh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2:15" s="69" customFormat="1" ht="38.25" x14ac:dyDescent="0.25">
      <c r="B16" s="52" t="s">
        <v>52</v>
      </c>
      <c r="C16" s="588" t="s">
        <v>542</v>
      </c>
      <c r="D16" s="588"/>
      <c r="E16" s="588" t="s">
        <v>543</v>
      </c>
      <c r="F16" s="588"/>
      <c r="G16" s="206" t="s">
        <v>544</v>
      </c>
      <c r="H16" s="37" t="s">
        <v>545</v>
      </c>
      <c r="I16" s="192" t="s">
        <v>96</v>
      </c>
    </row>
    <row r="17" spans="2:16" s="69" customFormat="1" x14ac:dyDescent="0.25">
      <c r="B17" s="207"/>
      <c r="C17" s="102" t="s">
        <v>316</v>
      </c>
      <c r="D17" s="102" t="s">
        <v>318</v>
      </c>
      <c r="E17" s="102" t="s">
        <v>325</v>
      </c>
      <c r="F17" s="102" t="s">
        <v>327</v>
      </c>
      <c r="G17" s="102" t="s">
        <v>320</v>
      </c>
      <c r="H17" s="102" t="s">
        <v>336</v>
      </c>
      <c r="I17" s="208"/>
    </row>
    <row r="18" spans="2:16" s="1" customFormat="1" ht="14.25" x14ac:dyDescent="0.2">
      <c r="B18" s="209" t="s">
        <v>53</v>
      </c>
      <c r="C18" s="27">
        <v>461744</v>
      </c>
      <c r="D18" s="27">
        <v>952428.95</v>
      </c>
      <c r="E18" s="27">
        <v>63733</v>
      </c>
      <c r="F18" s="27">
        <v>89496</v>
      </c>
      <c r="G18" s="27">
        <v>182667</v>
      </c>
      <c r="H18" s="27">
        <v>0</v>
      </c>
      <c r="I18" s="210">
        <f t="shared" ref="I18:I30" si="0">C18+D18+E18+F18+G18+H18</f>
        <v>1750068.95</v>
      </c>
      <c r="J18" s="35"/>
      <c r="K18" s="35"/>
      <c r="L18" s="35"/>
      <c r="M18" s="35"/>
    </row>
    <row r="19" spans="2:16" s="1" customFormat="1" ht="14.25" x14ac:dyDescent="0.2">
      <c r="B19" s="209" t="s">
        <v>54</v>
      </c>
      <c r="C19" s="27">
        <v>173528.11</v>
      </c>
      <c r="D19" s="27">
        <v>337850.45</v>
      </c>
      <c r="E19" s="27">
        <v>23345</v>
      </c>
      <c r="F19" s="27">
        <v>32655</v>
      </c>
      <c r="G19" s="27">
        <v>66921</v>
      </c>
      <c r="H19" s="27">
        <v>0</v>
      </c>
      <c r="I19" s="210">
        <f t="shared" si="0"/>
        <v>634299.56000000006</v>
      </c>
      <c r="J19" s="35"/>
      <c r="K19" s="35"/>
      <c r="L19" s="35"/>
      <c r="M19" s="35"/>
    </row>
    <row r="20" spans="2:16" s="1" customFormat="1" ht="14.25" x14ac:dyDescent="0.2">
      <c r="B20" s="209" t="s">
        <v>55</v>
      </c>
      <c r="C20" s="27">
        <f t="shared" ref="C20:H20" si="1">SUM(C21:C27)</f>
        <v>79854</v>
      </c>
      <c r="D20" s="27">
        <f t="shared" si="1"/>
        <v>390545.96</v>
      </c>
      <c r="E20" s="27">
        <f t="shared" si="1"/>
        <v>22015</v>
      </c>
      <c r="F20" s="27">
        <f t="shared" si="1"/>
        <v>301595.94</v>
      </c>
      <c r="G20" s="27">
        <f t="shared" si="1"/>
        <v>27157</v>
      </c>
      <c r="H20" s="27">
        <f t="shared" si="1"/>
        <v>0</v>
      </c>
      <c r="I20" s="210">
        <f t="shared" si="0"/>
        <v>821167.9</v>
      </c>
      <c r="J20" s="35"/>
      <c r="K20" s="35"/>
      <c r="L20" s="35"/>
      <c r="M20" s="35"/>
    </row>
    <row r="21" spans="2:16" s="1" customFormat="1" ht="14.25" x14ac:dyDescent="0.2">
      <c r="B21" s="57" t="s">
        <v>66</v>
      </c>
      <c r="C21" s="26">
        <v>117</v>
      </c>
      <c r="D21" s="26">
        <v>120.4</v>
      </c>
      <c r="E21" s="26">
        <v>0</v>
      </c>
      <c r="F21" s="26">
        <v>0</v>
      </c>
      <c r="G21" s="26">
        <v>0</v>
      </c>
      <c r="H21" s="26">
        <v>0</v>
      </c>
      <c r="I21" s="194">
        <f t="shared" si="0"/>
        <v>237.4</v>
      </c>
      <c r="J21" s="35"/>
      <c r="K21" s="35"/>
      <c r="L21" s="35"/>
      <c r="M21" s="35"/>
    </row>
    <row r="22" spans="2:16" s="1" customFormat="1" ht="14.25" x14ac:dyDescent="0.2">
      <c r="B22" s="57" t="s">
        <v>56</v>
      </c>
      <c r="C22" s="26">
        <v>13570</v>
      </c>
      <c r="D22" s="26">
        <v>221140.59</v>
      </c>
      <c r="E22" s="26">
        <v>3660</v>
      </c>
      <c r="F22" s="26">
        <v>13730</v>
      </c>
      <c r="G22" s="26">
        <v>4000</v>
      </c>
      <c r="H22" s="26">
        <v>0</v>
      </c>
      <c r="I22" s="194">
        <f t="shared" si="0"/>
        <v>256100.59</v>
      </c>
      <c r="J22" s="35"/>
      <c r="K22" s="35"/>
      <c r="L22" s="35"/>
      <c r="M22" s="35"/>
    </row>
    <row r="23" spans="2:16" s="1" customFormat="1" ht="14.25" x14ac:dyDescent="0.2">
      <c r="B23" s="57" t="s">
        <v>57</v>
      </c>
      <c r="C23" s="26">
        <v>32627</v>
      </c>
      <c r="D23" s="26">
        <v>54130.67</v>
      </c>
      <c r="E23" s="26">
        <v>10985</v>
      </c>
      <c r="F23" s="26">
        <v>239722.48</v>
      </c>
      <c r="G23" s="26">
        <v>11740</v>
      </c>
      <c r="H23" s="26">
        <v>0</v>
      </c>
      <c r="I23" s="194">
        <f t="shared" si="0"/>
        <v>349205.15</v>
      </c>
      <c r="J23" s="35"/>
      <c r="K23" s="35"/>
      <c r="L23" s="35"/>
      <c r="M23" s="35"/>
    </row>
    <row r="24" spans="2:16" s="1" customFormat="1" ht="14.25" x14ac:dyDescent="0.2">
      <c r="B24" s="57" t="s">
        <v>58</v>
      </c>
      <c r="C24" s="26">
        <v>0</v>
      </c>
      <c r="D24" s="26">
        <v>1555.2</v>
      </c>
      <c r="E24" s="26">
        <v>0</v>
      </c>
      <c r="F24" s="26">
        <v>0</v>
      </c>
      <c r="G24" s="26">
        <v>0</v>
      </c>
      <c r="H24" s="26">
        <v>0</v>
      </c>
      <c r="I24" s="194">
        <f t="shared" si="0"/>
        <v>1555.2</v>
      </c>
      <c r="J24" s="35"/>
      <c r="K24" s="35"/>
      <c r="L24" s="35"/>
      <c r="M24" s="35"/>
    </row>
    <row r="25" spans="2:16" s="1" customFormat="1" ht="17.25" customHeight="1" x14ac:dyDescent="0.2">
      <c r="B25" s="57" t="s">
        <v>59</v>
      </c>
      <c r="C25" s="26">
        <v>8037</v>
      </c>
      <c r="D25" s="26">
        <v>35836.53</v>
      </c>
      <c r="E25" s="26">
        <v>2100</v>
      </c>
      <c r="F25" s="26">
        <v>6000</v>
      </c>
      <c r="G25" s="26">
        <v>3000</v>
      </c>
      <c r="H25" s="26">
        <v>0</v>
      </c>
      <c r="I25" s="194">
        <f t="shared" si="0"/>
        <v>54973.53</v>
      </c>
      <c r="J25" s="35"/>
      <c r="K25" s="35"/>
      <c r="L25" s="35"/>
      <c r="M25" s="35"/>
    </row>
    <row r="26" spans="2:16" s="1" customFormat="1" ht="14.25" x14ac:dyDescent="0.2">
      <c r="B26" s="57" t="s">
        <v>60</v>
      </c>
      <c r="C26" s="26">
        <v>1600</v>
      </c>
      <c r="D26" s="26">
        <v>3548.94</v>
      </c>
      <c r="E26" s="26">
        <v>0</v>
      </c>
      <c r="F26" s="26">
        <v>0</v>
      </c>
      <c r="G26" s="26">
        <v>0</v>
      </c>
      <c r="H26" s="26">
        <v>0</v>
      </c>
      <c r="I26" s="194">
        <f t="shared" si="0"/>
        <v>5148.9400000000005</v>
      </c>
      <c r="J26" s="35"/>
      <c r="K26" s="35"/>
      <c r="L26" s="35"/>
      <c r="M26" s="35"/>
    </row>
    <row r="27" spans="2:16" s="1" customFormat="1" ht="14.25" x14ac:dyDescent="0.2">
      <c r="B27" s="57" t="s">
        <v>61</v>
      </c>
      <c r="C27" s="26">
        <v>23903</v>
      </c>
      <c r="D27" s="26">
        <v>74213.63</v>
      </c>
      <c r="E27" s="26">
        <v>5270</v>
      </c>
      <c r="F27" s="26">
        <v>42143.46</v>
      </c>
      <c r="G27" s="26">
        <v>8417</v>
      </c>
      <c r="H27" s="26">
        <v>0</v>
      </c>
      <c r="I27" s="194">
        <f t="shared" si="0"/>
        <v>153947.09</v>
      </c>
      <c r="J27" s="35"/>
      <c r="K27" s="35"/>
      <c r="L27" s="35"/>
      <c r="M27" s="35"/>
    </row>
    <row r="28" spans="2:16" s="1" customFormat="1" ht="14.25" x14ac:dyDescent="0.2">
      <c r="B28" s="209" t="s">
        <v>62</v>
      </c>
      <c r="C28" s="27">
        <v>4850</v>
      </c>
      <c r="D28" s="27">
        <v>11901.38</v>
      </c>
      <c r="E28" s="27">
        <v>2659</v>
      </c>
      <c r="F28" s="27">
        <v>4129.3</v>
      </c>
      <c r="G28" s="27">
        <v>3579</v>
      </c>
      <c r="H28" s="27">
        <v>83</v>
      </c>
      <c r="I28" s="210">
        <f t="shared" si="0"/>
        <v>27201.679999999997</v>
      </c>
      <c r="J28" s="35"/>
      <c r="K28" s="35"/>
      <c r="L28" s="35"/>
      <c r="M28" s="35"/>
    </row>
    <row r="29" spans="2:16" s="1" customFormat="1" ht="14.25" x14ac:dyDescent="0.2">
      <c r="B29" s="209" t="s">
        <v>490</v>
      </c>
      <c r="C29" s="27">
        <v>0</v>
      </c>
      <c r="D29" s="27">
        <v>69799.199999999997</v>
      </c>
      <c r="E29" s="27">
        <v>0</v>
      </c>
      <c r="F29" s="27">
        <v>0</v>
      </c>
      <c r="G29" s="27">
        <v>0</v>
      </c>
      <c r="H29" s="27">
        <v>0</v>
      </c>
      <c r="I29" s="210">
        <f t="shared" si="0"/>
        <v>69799.199999999997</v>
      </c>
      <c r="J29" s="35"/>
      <c r="K29" s="35"/>
      <c r="L29" s="35"/>
      <c r="M29" s="35"/>
    </row>
    <row r="30" spans="2:16" s="1" customFormat="1" ht="18.75" customHeight="1" x14ac:dyDescent="0.2">
      <c r="B30" s="211" t="s">
        <v>96</v>
      </c>
      <c r="C30" s="45">
        <f>C18+C19+C20+C28</f>
        <v>719976.11</v>
      </c>
      <c r="D30" s="45">
        <f>D18+D19+D20+D28+D29</f>
        <v>1762525.9399999997</v>
      </c>
      <c r="E30" s="45">
        <f>E18+E19+E20+E28</f>
        <v>111752</v>
      </c>
      <c r="F30" s="45">
        <f t="shared" ref="F30:H30" si="2">F18+F19+F20+F28</f>
        <v>427876.24</v>
      </c>
      <c r="G30" s="45">
        <f t="shared" si="2"/>
        <v>280324</v>
      </c>
      <c r="H30" s="45">
        <f t="shared" si="2"/>
        <v>83</v>
      </c>
      <c r="I30" s="212">
        <f t="shared" si="0"/>
        <v>3302537.29</v>
      </c>
      <c r="J30" s="35"/>
      <c r="K30" s="35"/>
      <c r="L30" s="35"/>
      <c r="M30" s="35"/>
    </row>
    <row r="31" spans="2:16" s="1" customFormat="1" ht="18.75" customHeight="1" x14ac:dyDescent="0.2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s="1" customFormat="1" ht="18.75" customHeight="1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s="1" customFormat="1" ht="18.75" customHeight="1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8.75" customHeight="1" x14ac:dyDescent="0.2">
      <c r="B34" s="35"/>
      <c r="C34" s="35"/>
      <c r="D34" s="35"/>
      <c r="E34" s="35"/>
      <c r="F34" s="35"/>
      <c r="G34" s="35"/>
      <c r="H34" s="36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8.75" customHeight="1" x14ac:dyDescent="0.2">
      <c r="B35" s="35"/>
      <c r="C35" s="35"/>
      <c r="D35" s="35"/>
      <c r="E35" s="35"/>
      <c r="F35" s="35"/>
      <c r="G35" s="35"/>
      <c r="H35" s="36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8" x14ac:dyDescent="0.25">
      <c r="B36" s="203" t="s">
        <v>137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4.25" x14ac:dyDescent="0.2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s="76" customFormat="1" ht="16.5" customHeight="1" x14ac:dyDescent="0.25">
      <c r="B38" s="572" t="s">
        <v>100</v>
      </c>
      <c r="C38" s="572"/>
      <c r="D38" s="572"/>
      <c r="E38" s="572"/>
      <c r="F38" s="204"/>
    </row>
    <row r="39" spans="2:16" s="1" customFormat="1" ht="14.25" x14ac:dyDescent="0.2">
      <c r="B39" s="562" t="s">
        <v>132</v>
      </c>
      <c r="C39" s="562"/>
      <c r="D39" s="562"/>
      <c r="E39" s="26">
        <v>6149.26</v>
      </c>
      <c r="F39" s="58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4.25" x14ac:dyDescent="0.2">
      <c r="B40" s="562" t="s">
        <v>133</v>
      </c>
      <c r="C40" s="562"/>
      <c r="D40" s="562"/>
      <c r="E40" s="26">
        <v>42860.2</v>
      </c>
      <c r="F40" s="58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1" customFormat="1" ht="14.25" x14ac:dyDescent="0.2">
      <c r="B41" s="562" t="s">
        <v>134</v>
      </c>
      <c r="C41" s="562"/>
      <c r="D41" s="562"/>
      <c r="E41" s="26">
        <v>34547.760000000002</v>
      </c>
      <c r="F41" s="58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4.25" x14ac:dyDescent="0.2">
      <c r="B42" s="562" t="s">
        <v>104</v>
      </c>
      <c r="C42" s="562"/>
      <c r="D42" s="562"/>
      <c r="E42" s="26">
        <v>53102.3</v>
      </c>
      <c r="F42" s="58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96" customFormat="1" ht="12.75" customHeight="1" x14ac:dyDescent="0.25">
      <c r="B43" s="589" t="s">
        <v>136</v>
      </c>
      <c r="C43" s="589"/>
      <c r="D43" s="589"/>
      <c r="E43" s="41">
        <v>32588</v>
      </c>
      <c r="F43" s="205"/>
    </row>
    <row r="44" spans="2:16" s="76" customFormat="1" ht="18.75" customHeight="1" x14ac:dyDescent="0.25">
      <c r="B44" s="570" t="s">
        <v>96</v>
      </c>
      <c r="C44" s="570"/>
      <c r="D44" s="570"/>
      <c r="E44" s="45">
        <f>SUM(E39:E43)</f>
        <v>169247.52000000002</v>
      </c>
      <c r="F44" s="66"/>
    </row>
    <row r="45" spans="2:16" s="1" customFormat="1" ht="14.25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s="69" customFormat="1" ht="38.25" x14ac:dyDescent="0.25">
      <c r="B46" s="52" t="s">
        <v>52</v>
      </c>
      <c r="C46" s="588" t="s">
        <v>542</v>
      </c>
      <c r="D46" s="588"/>
      <c r="E46" s="588" t="s">
        <v>543</v>
      </c>
      <c r="F46" s="588"/>
      <c r="G46" s="206" t="s">
        <v>544</v>
      </c>
      <c r="H46" s="37" t="s">
        <v>545</v>
      </c>
      <c r="I46" s="192" t="s">
        <v>96</v>
      </c>
    </row>
    <row r="47" spans="2:16" s="69" customFormat="1" x14ac:dyDescent="0.25">
      <c r="B47" s="207"/>
      <c r="C47" s="102" t="s">
        <v>316</v>
      </c>
      <c r="D47" s="102" t="s">
        <v>318</v>
      </c>
      <c r="E47" s="102" t="s">
        <v>325</v>
      </c>
      <c r="F47" s="102" t="s">
        <v>327</v>
      </c>
      <c r="G47" s="102" t="s">
        <v>320</v>
      </c>
      <c r="H47" s="102" t="s">
        <v>336</v>
      </c>
      <c r="I47" s="208"/>
    </row>
    <row r="48" spans="2:16" s="1" customFormat="1" ht="14.25" x14ac:dyDescent="0.2">
      <c r="B48" s="209" t="s">
        <v>53</v>
      </c>
      <c r="C48" s="27">
        <v>420000</v>
      </c>
      <c r="D48" s="27">
        <v>685801</v>
      </c>
      <c r="E48" s="27">
        <v>41460</v>
      </c>
      <c r="F48" s="27">
        <v>41460</v>
      </c>
      <c r="G48" s="27">
        <v>170825</v>
      </c>
      <c r="H48" s="27">
        <v>0</v>
      </c>
      <c r="I48" s="210">
        <f t="shared" ref="I48:I59" si="3">C48+D48+E48+F48+G48+H48</f>
        <v>1359546</v>
      </c>
      <c r="J48" s="35"/>
      <c r="K48" s="35"/>
      <c r="L48" s="35"/>
      <c r="M48" s="35"/>
    </row>
    <row r="49" spans="2:16" s="1" customFormat="1" ht="14.25" x14ac:dyDescent="0.2">
      <c r="B49" s="209" t="s">
        <v>54</v>
      </c>
      <c r="C49" s="27">
        <v>150745</v>
      </c>
      <c r="D49" s="27">
        <v>245222</v>
      </c>
      <c r="E49" s="27">
        <v>15671</v>
      </c>
      <c r="F49" s="27">
        <v>15671</v>
      </c>
      <c r="G49" s="27">
        <v>61527</v>
      </c>
      <c r="H49" s="27">
        <v>0</v>
      </c>
      <c r="I49" s="210">
        <f t="shared" si="3"/>
        <v>488836</v>
      </c>
      <c r="J49" s="35"/>
      <c r="K49" s="35"/>
      <c r="L49" s="35"/>
      <c r="M49" s="35"/>
    </row>
    <row r="50" spans="2:16" s="1" customFormat="1" ht="14.25" x14ac:dyDescent="0.2">
      <c r="B50" s="209" t="s">
        <v>55</v>
      </c>
      <c r="C50" s="27">
        <f t="shared" ref="C50:H50" si="4">SUM(C51:C56)</f>
        <v>101184.48999999999</v>
      </c>
      <c r="D50" s="27">
        <f t="shared" si="4"/>
        <v>198989.75</v>
      </c>
      <c r="E50" s="27">
        <f t="shared" si="4"/>
        <v>69719.94</v>
      </c>
      <c r="F50" s="27">
        <f t="shared" si="4"/>
        <v>122004.39</v>
      </c>
      <c r="G50" s="27">
        <f t="shared" si="4"/>
        <v>24320</v>
      </c>
      <c r="H50" s="27">
        <f t="shared" si="4"/>
        <v>16.600000000000001</v>
      </c>
      <c r="I50" s="210">
        <f t="shared" si="3"/>
        <v>516235.17</v>
      </c>
      <c r="J50" s="35"/>
      <c r="K50" s="35"/>
      <c r="L50" s="35"/>
      <c r="M50" s="35"/>
    </row>
    <row r="51" spans="2:16" s="1" customFormat="1" ht="14.25" x14ac:dyDescent="0.2">
      <c r="B51" s="57" t="s">
        <v>66</v>
      </c>
      <c r="C51" s="26">
        <v>264.49</v>
      </c>
      <c r="D51" s="26">
        <v>264.51</v>
      </c>
      <c r="E51" s="26">
        <v>0</v>
      </c>
      <c r="F51" s="26">
        <v>0</v>
      </c>
      <c r="G51" s="26">
        <v>0</v>
      </c>
      <c r="H51" s="26">
        <v>0</v>
      </c>
      <c r="I51" s="194">
        <f t="shared" si="3"/>
        <v>529</v>
      </c>
      <c r="J51" s="35"/>
      <c r="K51" s="35"/>
      <c r="L51" s="35"/>
      <c r="M51" s="35"/>
    </row>
    <row r="52" spans="2:16" s="1" customFormat="1" ht="14.25" x14ac:dyDescent="0.2">
      <c r="B52" s="57" t="s">
        <v>56</v>
      </c>
      <c r="C52" s="26">
        <v>53235</v>
      </c>
      <c r="D52" s="26">
        <v>48687.42</v>
      </c>
      <c r="E52" s="26">
        <v>11199.45</v>
      </c>
      <c r="F52" s="26">
        <v>11199.45</v>
      </c>
      <c r="G52" s="26">
        <v>8500</v>
      </c>
      <c r="H52" s="26">
        <v>0</v>
      </c>
      <c r="I52" s="194">
        <f t="shared" si="3"/>
        <v>132821.32</v>
      </c>
      <c r="J52" s="35"/>
      <c r="K52" s="35"/>
      <c r="L52" s="35"/>
      <c r="M52" s="35"/>
    </row>
    <row r="53" spans="2:16" s="1" customFormat="1" ht="14.25" x14ac:dyDescent="0.2">
      <c r="B53" s="57" t="s">
        <v>57</v>
      </c>
      <c r="C53" s="26">
        <v>11635</v>
      </c>
      <c r="D53" s="26">
        <v>74310</v>
      </c>
      <c r="E53" s="26">
        <v>49670.49</v>
      </c>
      <c r="F53" s="26">
        <v>101984.94</v>
      </c>
      <c r="G53" s="26">
        <v>2600</v>
      </c>
      <c r="H53" s="26">
        <v>16.600000000000001</v>
      </c>
      <c r="I53" s="194">
        <f t="shared" si="3"/>
        <v>240217.03</v>
      </c>
      <c r="J53" s="35"/>
      <c r="K53" s="35"/>
      <c r="L53" s="35"/>
      <c r="M53" s="35"/>
    </row>
    <row r="54" spans="2:16" s="1" customFormat="1" ht="16.5" customHeight="1" x14ac:dyDescent="0.2">
      <c r="B54" s="57" t="s">
        <v>59</v>
      </c>
      <c r="C54" s="26">
        <v>2500</v>
      </c>
      <c r="D54" s="26">
        <v>9476</v>
      </c>
      <c r="E54" s="26">
        <v>1000</v>
      </c>
      <c r="F54" s="26">
        <v>1000</v>
      </c>
      <c r="G54" s="26">
        <v>8720</v>
      </c>
      <c r="H54" s="26">
        <v>0</v>
      </c>
      <c r="I54" s="194">
        <f t="shared" si="3"/>
        <v>22696</v>
      </c>
      <c r="J54" s="35"/>
      <c r="K54" s="35"/>
      <c r="L54" s="35"/>
      <c r="M54" s="35"/>
    </row>
    <row r="55" spans="2:16" s="1" customFormat="1" ht="14.25" x14ac:dyDescent="0.2">
      <c r="B55" s="57" t="s">
        <v>60</v>
      </c>
      <c r="C55" s="26">
        <v>370</v>
      </c>
      <c r="D55" s="26">
        <v>370</v>
      </c>
      <c r="E55" s="26">
        <v>0</v>
      </c>
      <c r="F55" s="26">
        <v>0</v>
      </c>
      <c r="G55" s="26">
        <v>0</v>
      </c>
      <c r="H55" s="26">
        <v>0</v>
      </c>
      <c r="I55" s="194">
        <f t="shared" si="3"/>
        <v>740</v>
      </c>
      <c r="J55" s="35"/>
      <c r="K55" s="35"/>
      <c r="L55" s="35"/>
      <c r="M55" s="35"/>
    </row>
    <row r="56" spans="2:16" s="1" customFormat="1" ht="14.25" x14ac:dyDescent="0.2">
      <c r="B56" s="57" t="s">
        <v>61</v>
      </c>
      <c r="C56" s="26">
        <v>33180</v>
      </c>
      <c r="D56" s="26">
        <v>65881.820000000007</v>
      </c>
      <c r="E56" s="26">
        <v>7850</v>
      </c>
      <c r="F56" s="26">
        <v>7820</v>
      </c>
      <c r="G56" s="26">
        <v>4500</v>
      </c>
      <c r="H56" s="26">
        <v>0</v>
      </c>
      <c r="I56" s="194">
        <f t="shared" si="3"/>
        <v>119231.82</v>
      </c>
      <c r="J56" s="35"/>
      <c r="K56" s="35"/>
      <c r="L56" s="35"/>
      <c r="M56" s="35"/>
    </row>
    <row r="57" spans="2:16" s="1" customFormat="1" ht="14.25" x14ac:dyDescent="0.2">
      <c r="B57" s="209" t="s">
        <v>62</v>
      </c>
      <c r="C57" s="27">
        <v>1000</v>
      </c>
      <c r="D57" s="27">
        <v>27048.48</v>
      </c>
      <c r="E57" s="27">
        <v>2973.71</v>
      </c>
      <c r="F57" s="27">
        <v>2974</v>
      </c>
      <c r="G57" s="27">
        <v>233</v>
      </c>
      <c r="H57" s="27">
        <v>0</v>
      </c>
      <c r="I57" s="210">
        <f t="shared" si="3"/>
        <v>34229.19</v>
      </c>
      <c r="J57" s="35"/>
      <c r="K57" s="35"/>
      <c r="L57" s="35"/>
      <c r="M57" s="35"/>
    </row>
    <row r="58" spans="2:16" s="1" customFormat="1" ht="14.25" x14ac:dyDescent="0.2">
      <c r="B58" s="209" t="s">
        <v>490</v>
      </c>
      <c r="C58" s="27">
        <v>0</v>
      </c>
      <c r="D58" s="27">
        <v>67564.210000000006</v>
      </c>
      <c r="E58" s="27">
        <v>0</v>
      </c>
      <c r="F58" s="27">
        <v>0</v>
      </c>
      <c r="G58" s="27">
        <v>0</v>
      </c>
      <c r="H58" s="27">
        <v>0</v>
      </c>
      <c r="I58" s="210">
        <f t="shared" si="3"/>
        <v>67564.210000000006</v>
      </c>
      <c r="J58" s="35"/>
      <c r="K58" s="35"/>
      <c r="L58" s="35"/>
      <c r="M58" s="35"/>
    </row>
    <row r="59" spans="2:16" s="8" customFormat="1" ht="14.25" x14ac:dyDescent="0.25">
      <c r="B59" s="209" t="s">
        <v>547</v>
      </c>
      <c r="C59" s="213">
        <v>0</v>
      </c>
      <c r="D59" s="213">
        <v>0</v>
      </c>
      <c r="E59" s="213">
        <v>0</v>
      </c>
      <c r="F59" s="213">
        <v>32498.400000000001</v>
      </c>
      <c r="G59" s="213">
        <v>0</v>
      </c>
      <c r="H59" s="213">
        <v>0</v>
      </c>
      <c r="I59" s="214">
        <f t="shared" si="3"/>
        <v>32498.400000000001</v>
      </c>
      <c r="J59" s="76"/>
      <c r="K59" s="76"/>
      <c r="L59" s="76"/>
      <c r="M59" s="76"/>
    </row>
    <row r="60" spans="2:16" s="1" customFormat="1" ht="22.5" customHeight="1" x14ac:dyDescent="0.2">
      <c r="B60" s="211" t="s">
        <v>96</v>
      </c>
      <c r="C60" s="45">
        <f t="shared" ref="C60:I60" si="5">C48+C49+C50+C57+C59+C58</f>
        <v>672929.49</v>
      </c>
      <c r="D60" s="45">
        <f t="shared" si="5"/>
        <v>1224625.44</v>
      </c>
      <c r="E60" s="45">
        <f t="shared" si="5"/>
        <v>129824.65000000001</v>
      </c>
      <c r="F60" s="45">
        <f t="shared" si="5"/>
        <v>214607.79</v>
      </c>
      <c r="G60" s="45">
        <f t="shared" si="5"/>
        <v>256905</v>
      </c>
      <c r="H60" s="45">
        <f t="shared" si="5"/>
        <v>16.600000000000001</v>
      </c>
      <c r="I60" s="45">
        <f t="shared" si="5"/>
        <v>2498908.9699999997</v>
      </c>
      <c r="J60" s="35"/>
      <c r="K60" s="99"/>
      <c r="L60" s="35"/>
      <c r="M60" s="35"/>
    </row>
    <row r="61" spans="2:16" s="1" customFormat="1" ht="14.25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</row>
    <row r="62" spans="2:16" s="1" customFormat="1" ht="14.25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2:16" s="1" customFormat="1" ht="14.25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</row>
    <row r="64" spans="2:16" s="1" customFormat="1" ht="14.25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2:16" s="1" customFormat="1" ht="14.25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spans="2:16" s="1" customFormat="1" ht="14.25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spans="2:16" s="1" customFormat="1" ht="14.25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2:16" s="1" customFormat="1" ht="14.25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s="1" customFormat="1" ht="14.25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s="1" customFormat="1" ht="14.25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s="1" customFormat="1" ht="14.25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s="1" customFormat="1" ht="14.25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s="1" customFormat="1" ht="14.25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s="1" customFormat="1" ht="14.25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s="1" customFormat="1" ht="14.25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s="1" customFormat="1" ht="14.25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s="1" customFormat="1" ht="14.25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s="1" customFormat="1" ht="14.25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2:16" s="1" customFormat="1" ht="18" x14ac:dyDescent="0.25">
      <c r="B79" s="203" t="s">
        <v>138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s="1" customFormat="1" ht="14.25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s="76" customFormat="1" ht="17.25" customHeight="1" x14ac:dyDescent="0.25">
      <c r="B81" s="572" t="s">
        <v>100</v>
      </c>
      <c r="C81" s="572"/>
      <c r="D81" s="572"/>
      <c r="E81" s="572"/>
      <c r="F81" s="204"/>
    </row>
    <row r="82" spans="2:16" s="1" customFormat="1" ht="14.25" x14ac:dyDescent="0.2">
      <c r="B82" s="562" t="s">
        <v>132</v>
      </c>
      <c r="C82" s="562"/>
      <c r="D82" s="562"/>
      <c r="E82" s="26">
        <v>16170.19</v>
      </c>
      <c r="F82" s="58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s="1" customFormat="1" ht="29.25" customHeight="1" x14ac:dyDescent="0.2">
      <c r="B83" s="562" t="s">
        <v>632</v>
      </c>
      <c r="C83" s="562"/>
      <c r="D83" s="562"/>
      <c r="E83" s="26">
        <v>100</v>
      </c>
      <c r="F83" s="58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2:16" s="1" customFormat="1" ht="14.25" x14ac:dyDescent="0.2">
      <c r="B84" s="562" t="s">
        <v>133</v>
      </c>
      <c r="C84" s="562"/>
      <c r="D84" s="562"/>
      <c r="E84" s="26">
        <v>55603.34</v>
      </c>
      <c r="F84" s="58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2:16" s="1" customFormat="1" ht="14.25" x14ac:dyDescent="0.2">
      <c r="B85" s="562" t="s">
        <v>134</v>
      </c>
      <c r="C85" s="562"/>
      <c r="D85" s="562"/>
      <c r="E85" s="26">
        <v>21006.400000000001</v>
      </c>
      <c r="F85" s="58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2:16" s="196" customFormat="1" x14ac:dyDescent="0.25">
      <c r="B86" s="589" t="s">
        <v>104</v>
      </c>
      <c r="C86" s="589"/>
      <c r="D86" s="589"/>
      <c r="E86" s="41">
        <v>106718.08</v>
      </c>
      <c r="F86" s="205"/>
    </row>
    <row r="87" spans="2:16" s="196" customFormat="1" x14ac:dyDescent="0.25">
      <c r="B87" s="57" t="s">
        <v>634</v>
      </c>
      <c r="C87" s="57"/>
      <c r="D87" s="57"/>
      <c r="E87" s="41">
        <v>9139.84</v>
      </c>
      <c r="F87" s="205"/>
    </row>
    <row r="88" spans="2:16" s="196" customFormat="1" x14ac:dyDescent="0.25">
      <c r="B88" s="57" t="s">
        <v>635</v>
      </c>
      <c r="C88" s="57"/>
      <c r="D88" s="57"/>
      <c r="E88" s="41">
        <v>600</v>
      </c>
      <c r="F88" s="205"/>
    </row>
    <row r="89" spans="2:16" s="1" customFormat="1" ht="18.75" customHeight="1" x14ac:dyDescent="0.2">
      <c r="B89" s="570" t="s">
        <v>96</v>
      </c>
      <c r="C89" s="570"/>
      <c r="D89" s="570"/>
      <c r="E89" s="45">
        <f>SUM(E82:E88)</f>
        <v>209337.85</v>
      </c>
      <c r="F89" s="66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2:16" s="1" customFormat="1" ht="14.25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s="69" customFormat="1" ht="38.25" x14ac:dyDescent="0.25">
      <c r="B91" s="52" t="s">
        <v>52</v>
      </c>
      <c r="C91" s="588" t="s">
        <v>542</v>
      </c>
      <c r="D91" s="588"/>
      <c r="E91" s="584" t="s">
        <v>543</v>
      </c>
      <c r="F91" s="585"/>
      <c r="G91" s="586"/>
      <c r="H91" s="206" t="s">
        <v>544</v>
      </c>
      <c r="I91" s="192" t="s">
        <v>96</v>
      </c>
    </row>
    <row r="92" spans="2:16" s="69" customFormat="1" x14ac:dyDescent="0.25">
      <c r="B92" s="207"/>
      <c r="C92" s="102" t="s">
        <v>316</v>
      </c>
      <c r="D92" s="102" t="s">
        <v>318</v>
      </c>
      <c r="E92" s="102" t="s">
        <v>324</v>
      </c>
      <c r="F92" s="102" t="s">
        <v>325</v>
      </c>
      <c r="G92" s="102" t="s">
        <v>327</v>
      </c>
      <c r="H92" s="102" t="s">
        <v>320</v>
      </c>
      <c r="I92" s="208"/>
    </row>
    <row r="93" spans="2:16" s="1" customFormat="1" ht="14.25" x14ac:dyDescent="0.2">
      <c r="B93" s="209" t="s">
        <v>53</v>
      </c>
      <c r="C93" s="27">
        <v>265500</v>
      </c>
      <c r="D93" s="27">
        <v>504117</v>
      </c>
      <c r="E93" s="27">
        <v>0</v>
      </c>
      <c r="F93" s="27">
        <v>42940</v>
      </c>
      <c r="G93" s="27">
        <v>67506</v>
      </c>
      <c r="H93" s="27">
        <v>83382</v>
      </c>
      <c r="I93" s="210">
        <f>D93+E93+G93+H93+F93+C93</f>
        <v>963445</v>
      </c>
      <c r="J93" s="35"/>
      <c r="K93" s="35"/>
      <c r="L93" s="35"/>
    </row>
    <row r="94" spans="2:16" s="1" customFormat="1" ht="14.25" x14ac:dyDescent="0.2">
      <c r="B94" s="209" t="s">
        <v>54</v>
      </c>
      <c r="C94" s="27">
        <v>96695</v>
      </c>
      <c r="D94" s="27">
        <v>184815.57</v>
      </c>
      <c r="E94" s="27">
        <v>0</v>
      </c>
      <c r="F94" s="27">
        <v>15607</v>
      </c>
      <c r="G94" s="27">
        <v>24106</v>
      </c>
      <c r="H94" s="27">
        <v>30140</v>
      </c>
      <c r="I94" s="210">
        <f t="shared" ref="I94:I106" si="6">D94+E94+G94+H94+F94+C94</f>
        <v>351363.57</v>
      </c>
      <c r="J94" s="35"/>
      <c r="K94" s="35"/>
      <c r="L94" s="35"/>
    </row>
    <row r="95" spans="2:16" s="1" customFormat="1" ht="14.25" x14ac:dyDescent="0.2">
      <c r="B95" s="209" t="s">
        <v>55</v>
      </c>
      <c r="C95" s="27">
        <f t="shared" ref="C95:E95" si="7">SUM(C96:C102)</f>
        <v>44380.6</v>
      </c>
      <c r="D95" s="27">
        <f t="shared" si="7"/>
        <v>159313.01999999999</v>
      </c>
      <c r="E95" s="27">
        <f t="shared" si="7"/>
        <v>44398.2</v>
      </c>
      <c r="F95" s="27">
        <f t="shared" ref="F95:H95" si="8">SUM(F96:F102)</f>
        <v>82629</v>
      </c>
      <c r="G95" s="27">
        <f t="shared" si="8"/>
        <v>147486.32</v>
      </c>
      <c r="H95" s="27">
        <f t="shared" si="8"/>
        <v>19000</v>
      </c>
      <c r="I95" s="210">
        <f t="shared" si="6"/>
        <v>497207.13999999996</v>
      </c>
      <c r="J95" s="35"/>
      <c r="K95" s="35"/>
      <c r="L95" s="35"/>
    </row>
    <row r="96" spans="2:16" s="1" customFormat="1" ht="14.25" x14ac:dyDescent="0.2">
      <c r="B96" s="57" t="s">
        <v>66</v>
      </c>
      <c r="C96" s="26">
        <v>54.35</v>
      </c>
      <c r="D96" s="26">
        <v>54.35</v>
      </c>
      <c r="E96" s="26">
        <v>0</v>
      </c>
      <c r="F96" s="26">
        <v>0</v>
      </c>
      <c r="G96" s="26">
        <v>0</v>
      </c>
      <c r="H96" s="26">
        <v>0</v>
      </c>
      <c r="I96" s="194">
        <f t="shared" si="6"/>
        <v>108.7</v>
      </c>
      <c r="J96" s="35"/>
      <c r="K96" s="35"/>
      <c r="L96" s="35"/>
    </row>
    <row r="97" spans="2:16" s="1" customFormat="1" ht="14.25" x14ac:dyDescent="0.2">
      <c r="B97" s="57" t="s">
        <v>56</v>
      </c>
      <c r="C97" s="26">
        <v>8558.84</v>
      </c>
      <c r="D97" s="26">
        <v>93543.679999999993</v>
      </c>
      <c r="E97" s="26">
        <v>0</v>
      </c>
      <c r="F97" s="26">
        <v>22999.8</v>
      </c>
      <c r="G97" s="26">
        <v>23000</v>
      </c>
      <c r="H97" s="26">
        <v>9180</v>
      </c>
      <c r="I97" s="194">
        <f t="shared" si="6"/>
        <v>157282.31999999998</v>
      </c>
      <c r="J97" s="35"/>
      <c r="K97" s="35"/>
      <c r="L97" s="35"/>
    </row>
    <row r="98" spans="2:16" s="1" customFormat="1" ht="14.25" x14ac:dyDescent="0.2">
      <c r="B98" s="57" t="s">
        <v>57</v>
      </c>
      <c r="C98" s="26">
        <v>14670.41</v>
      </c>
      <c r="D98" s="26">
        <v>21879.22</v>
      </c>
      <c r="E98" s="26">
        <v>44398.2</v>
      </c>
      <c r="F98" s="26">
        <v>47679.199999999997</v>
      </c>
      <c r="G98" s="26">
        <v>107527.32</v>
      </c>
      <c r="H98" s="26">
        <v>6100</v>
      </c>
      <c r="I98" s="194">
        <f t="shared" si="6"/>
        <v>242254.35</v>
      </c>
      <c r="J98" s="35"/>
      <c r="K98" s="35"/>
      <c r="L98" s="35"/>
    </row>
    <row r="99" spans="2:16" s="1" customFormat="1" ht="14.25" x14ac:dyDescent="0.2">
      <c r="B99" s="57" t="s">
        <v>58</v>
      </c>
      <c r="C99" s="26">
        <v>1002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194">
        <f t="shared" si="6"/>
        <v>1002</v>
      </c>
      <c r="J99" s="35"/>
      <c r="K99" s="35"/>
      <c r="L99" s="35"/>
    </row>
    <row r="100" spans="2:16" s="1" customFormat="1" ht="25.5" x14ac:dyDescent="0.2">
      <c r="B100" s="57" t="s">
        <v>59</v>
      </c>
      <c r="C100" s="26">
        <v>3320</v>
      </c>
      <c r="D100" s="26">
        <v>120</v>
      </c>
      <c r="E100" s="26">
        <v>0</v>
      </c>
      <c r="F100" s="26">
        <v>6100</v>
      </c>
      <c r="G100" s="26">
        <v>11109</v>
      </c>
      <c r="H100" s="26">
        <v>0</v>
      </c>
      <c r="I100" s="194">
        <f t="shared" si="6"/>
        <v>20649</v>
      </c>
      <c r="J100" s="35"/>
      <c r="K100" s="35"/>
      <c r="L100" s="35"/>
    </row>
    <row r="101" spans="2:16" s="1" customFormat="1" ht="14.25" x14ac:dyDescent="0.2">
      <c r="B101" s="57" t="s">
        <v>60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194">
        <f t="shared" si="6"/>
        <v>0</v>
      </c>
      <c r="J101" s="35"/>
      <c r="K101" s="35"/>
      <c r="L101" s="35"/>
    </row>
    <row r="102" spans="2:16" s="1" customFormat="1" ht="14.25" x14ac:dyDescent="0.2">
      <c r="B102" s="57" t="s">
        <v>61</v>
      </c>
      <c r="C102" s="26">
        <v>16775</v>
      </c>
      <c r="D102" s="26">
        <v>43715.77</v>
      </c>
      <c r="E102" s="26">
        <v>0</v>
      </c>
      <c r="F102" s="26">
        <v>5850</v>
      </c>
      <c r="G102" s="26">
        <v>5850</v>
      </c>
      <c r="H102" s="26">
        <v>3720</v>
      </c>
      <c r="I102" s="194">
        <f t="shared" si="6"/>
        <v>75910.76999999999</v>
      </c>
      <c r="J102" s="35"/>
      <c r="K102" s="35"/>
      <c r="L102" s="35"/>
    </row>
    <row r="103" spans="2:16" s="1" customFormat="1" ht="14.25" x14ac:dyDescent="0.2">
      <c r="B103" s="209" t="s">
        <v>62</v>
      </c>
      <c r="C103" s="27">
        <v>500</v>
      </c>
      <c r="D103" s="27">
        <v>4750.57</v>
      </c>
      <c r="E103" s="27">
        <v>0</v>
      </c>
      <c r="F103" s="27">
        <v>1715</v>
      </c>
      <c r="G103" s="27">
        <v>1552</v>
      </c>
      <c r="H103" s="27">
        <v>383</v>
      </c>
      <c r="I103" s="210">
        <f t="shared" si="6"/>
        <v>8900.57</v>
      </c>
      <c r="J103" s="35"/>
      <c r="K103" s="35"/>
      <c r="L103" s="35"/>
    </row>
    <row r="104" spans="2:16" s="1" customFormat="1" ht="14.25" x14ac:dyDescent="0.2">
      <c r="B104" s="209" t="s">
        <v>547</v>
      </c>
      <c r="C104" s="27">
        <v>0</v>
      </c>
      <c r="D104" s="27">
        <v>6781.16</v>
      </c>
      <c r="E104" s="27">
        <v>0</v>
      </c>
      <c r="F104" s="27">
        <v>0</v>
      </c>
      <c r="G104" s="27">
        <v>44640</v>
      </c>
      <c r="H104" s="27">
        <v>0</v>
      </c>
      <c r="I104" s="210">
        <f t="shared" si="6"/>
        <v>51421.16</v>
      </c>
      <c r="J104" s="35"/>
      <c r="K104" s="35"/>
      <c r="L104" s="35"/>
    </row>
    <row r="105" spans="2:16" s="1" customFormat="1" ht="25.5" x14ac:dyDescent="0.2">
      <c r="B105" s="249" t="s">
        <v>607</v>
      </c>
      <c r="C105" s="30">
        <v>0</v>
      </c>
      <c r="D105" s="30">
        <v>5992.18</v>
      </c>
      <c r="E105" s="30">
        <v>0</v>
      </c>
      <c r="F105" s="30">
        <v>0</v>
      </c>
      <c r="G105" s="30">
        <v>0</v>
      </c>
      <c r="H105" s="30">
        <v>0</v>
      </c>
      <c r="I105" s="250">
        <f t="shared" si="6"/>
        <v>5992.18</v>
      </c>
      <c r="J105" s="35"/>
      <c r="K105" s="35"/>
      <c r="L105" s="35"/>
    </row>
    <row r="106" spans="2:16" s="1" customFormat="1" ht="22.5" customHeight="1" x14ac:dyDescent="0.2">
      <c r="B106" s="216" t="s">
        <v>96</v>
      </c>
      <c r="C106" s="217">
        <f t="shared" ref="C106" si="9">C93+C94+C95+C103</f>
        <v>407075.6</v>
      </c>
      <c r="D106" s="217">
        <f>D93+D94+D95+D103+D104+D105</f>
        <v>865769.50000000012</v>
      </c>
      <c r="E106" s="217">
        <f t="shared" ref="E106:H106" si="10">E93+E94+E95+E103+E104+E105</f>
        <v>44398.2</v>
      </c>
      <c r="F106" s="217">
        <f t="shared" si="10"/>
        <v>142891</v>
      </c>
      <c r="G106" s="217">
        <f t="shared" si="10"/>
        <v>285290.32</v>
      </c>
      <c r="H106" s="217">
        <f t="shared" si="10"/>
        <v>132905</v>
      </c>
      <c r="I106" s="218">
        <f t="shared" si="6"/>
        <v>1878329.62</v>
      </c>
      <c r="J106" s="99"/>
      <c r="K106" s="35"/>
      <c r="L106" s="35"/>
    </row>
    <row r="107" spans="2:16" s="1" customFormat="1" ht="14.25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2:16" s="1" customFormat="1" ht="14.25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2:16" s="1" customFormat="1" ht="18" x14ac:dyDescent="0.25">
      <c r="B109" s="203" t="s">
        <v>139</v>
      </c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2:16" s="1" customFormat="1" ht="7.5" customHeight="1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2:16" s="1" customFormat="1" ht="16.5" customHeight="1" x14ac:dyDescent="0.2">
      <c r="B111" s="572" t="s">
        <v>100</v>
      </c>
      <c r="C111" s="572"/>
      <c r="D111" s="572"/>
      <c r="E111" s="572"/>
      <c r="F111" s="204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2:16" s="1" customFormat="1" ht="14.25" x14ac:dyDescent="0.2">
      <c r="B112" s="562" t="s">
        <v>132</v>
      </c>
      <c r="C112" s="562"/>
      <c r="D112" s="562"/>
      <c r="E112" s="26">
        <v>1328.38</v>
      </c>
      <c r="F112" s="58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2:16" s="1" customFormat="1" ht="14.25" x14ac:dyDescent="0.2">
      <c r="B113" s="562" t="s">
        <v>133</v>
      </c>
      <c r="C113" s="562"/>
      <c r="D113" s="562"/>
      <c r="E113" s="26">
        <v>32551.26</v>
      </c>
      <c r="F113" s="58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2:16" s="1" customFormat="1" ht="14.25" x14ac:dyDescent="0.2">
      <c r="B114" s="562" t="s">
        <v>134</v>
      </c>
      <c r="C114" s="562"/>
      <c r="D114" s="562"/>
      <c r="E114" s="26">
        <v>24627</v>
      </c>
      <c r="F114" s="58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s="196" customFormat="1" x14ac:dyDescent="0.25">
      <c r="B115" s="589" t="s">
        <v>104</v>
      </c>
      <c r="C115" s="589"/>
      <c r="D115" s="589"/>
      <c r="E115" s="41">
        <v>48796.89</v>
      </c>
      <c r="F115" s="205"/>
    </row>
    <row r="116" spans="2:16" s="1" customFormat="1" ht="18" customHeight="1" x14ac:dyDescent="0.2">
      <c r="B116" s="570" t="s">
        <v>96</v>
      </c>
      <c r="C116" s="570"/>
      <c r="D116" s="570"/>
      <c r="E116" s="45">
        <f>SUM(E112:E115)</f>
        <v>107303.53</v>
      </c>
      <c r="F116" s="66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8" spans="2:16" s="69" customFormat="1" ht="38.25" x14ac:dyDescent="0.25">
      <c r="B118" s="52" t="s">
        <v>52</v>
      </c>
      <c r="C118" s="588" t="s">
        <v>542</v>
      </c>
      <c r="D118" s="588"/>
      <c r="E118" s="588" t="s">
        <v>543</v>
      </c>
      <c r="F118" s="588"/>
      <c r="G118" s="206" t="s">
        <v>544</v>
      </c>
      <c r="H118" s="37" t="s">
        <v>545</v>
      </c>
      <c r="I118" s="192" t="s">
        <v>96</v>
      </c>
    </row>
    <row r="119" spans="2:16" s="69" customFormat="1" x14ac:dyDescent="0.25">
      <c r="B119" s="207"/>
      <c r="C119" s="102" t="s">
        <v>316</v>
      </c>
      <c r="D119" s="102" t="s">
        <v>318</v>
      </c>
      <c r="E119" s="102" t="s">
        <v>325</v>
      </c>
      <c r="F119" s="102" t="s">
        <v>327</v>
      </c>
      <c r="G119" s="102" t="s">
        <v>320</v>
      </c>
      <c r="H119" s="102" t="s">
        <v>336</v>
      </c>
      <c r="I119" s="208"/>
    </row>
    <row r="120" spans="2:16" s="1" customFormat="1" ht="14.25" x14ac:dyDescent="0.2">
      <c r="B120" s="209" t="s">
        <v>53</v>
      </c>
      <c r="C120" s="27">
        <v>303629.65000000002</v>
      </c>
      <c r="D120" s="27">
        <v>495658.17</v>
      </c>
      <c r="E120" s="27">
        <v>42129.68</v>
      </c>
      <c r="F120" s="27">
        <v>42938.5</v>
      </c>
      <c r="G120" s="27">
        <v>124474.66</v>
      </c>
      <c r="H120" s="27">
        <v>0</v>
      </c>
      <c r="I120" s="27">
        <f t="shared" ref="I120:I130" si="11">C120+D120+E120+F120+G120+H120</f>
        <v>1008830.6600000001</v>
      </c>
      <c r="J120" s="35"/>
      <c r="K120" s="35"/>
      <c r="L120" s="35"/>
      <c r="M120" s="35"/>
    </row>
    <row r="121" spans="2:16" s="1" customFormat="1" ht="14.25" x14ac:dyDescent="0.2">
      <c r="B121" s="209" t="s">
        <v>54</v>
      </c>
      <c r="C121" s="27">
        <v>108074.48</v>
      </c>
      <c r="D121" s="27">
        <v>172455.75</v>
      </c>
      <c r="E121" s="27">
        <v>14867.61</v>
      </c>
      <c r="F121" s="27">
        <v>15077.3</v>
      </c>
      <c r="G121" s="27">
        <v>44057.67</v>
      </c>
      <c r="H121" s="27">
        <v>0</v>
      </c>
      <c r="I121" s="27">
        <f t="shared" si="11"/>
        <v>354532.80999999994</v>
      </c>
      <c r="J121" s="35"/>
      <c r="K121" s="35"/>
      <c r="L121" s="35"/>
      <c r="M121" s="35"/>
    </row>
    <row r="122" spans="2:16" s="1" customFormat="1" ht="14.25" x14ac:dyDescent="0.2">
      <c r="B122" s="209" t="s">
        <v>55</v>
      </c>
      <c r="C122" s="27">
        <f t="shared" ref="C122:H122" si="12">SUM(C123:C127)</f>
        <v>61362.14</v>
      </c>
      <c r="D122" s="27">
        <f t="shared" si="12"/>
        <v>158835.22</v>
      </c>
      <c r="E122" s="27">
        <f t="shared" si="12"/>
        <v>73866.39</v>
      </c>
      <c r="F122" s="27">
        <f t="shared" si="12"/>
        <v>116384.91</v>
      </c>
      <c r="G122" s="27">
        <f t="shared" si="12"/>
        <v>27363</v>
      </c>
      <c r="H122" s="27">
        <f t="shared" si="12"/>
        <v>16.600000000000001</v>
      </c>
      <c r="I122" s="27">
        <f t="shared" si="11"/>
        <v>437828.26</v>
      </c>
      <c r="J122" s="35"/>
      <c r="K122" s="35"/>
      <c r="L122" s="35"/>
      <c r="M122" s="35"/>
    </row>
    <row r="123" spans="2:16" s="1" customFormat="1" ht="14.25" x14ac:dyDescent="0.2">
      <c r="B123" s="57" t="s">
        <v>56</v>
      </c>
      <c r="C123" s="26">
        <v>25961.87</v>
      </c>
      <c r="D123" s="26">
        <v>66773.039999999994</v>
      </c>
      <c r="E123" s="26">
        <v>21815.39</v>
      </c>
      <c r="F123" s="26">
        <v>21815.41</v>
      </c>
      <c r="G123" s="26">
        <v>18890</v>
      </c>
      <c r="H123" s="26">
        <v>0</v>
      </c>
      <c r="I123" s="26">
        <f t="shared" si="11"/>
        <v>155255.71</v>
      </c>
      <c r="J123" s="35"/>
      <c r="K123" s="35"/>
      <c r="L123" s="35"/>
      <c r="M123" s="35"/>
    </row>
    <row r="124" spans="2:16" s="1" customFormat="1" ht="14.25" x14ac:dyDescent="0.2">
      <c r="B124" s="57" t="s">
        <v>57</v>
      </c>
      <c r="C124" s="26">
        <v>13694.85</v>
      </c>
      <c r="D124" s="26">
        <v>54614.5</v>
      </c>
      <c r="E124" s="26">
        <v>45870.04</v>
      </c>
      <c r="F124" s="26">
        <v>88388.55</v>
      </c>
      <c r="G124" s="26">
        <v>4847.66</v>
      </c>
      <c r="H124" s="26">
        <v>16.600000000000001</v>
      </c>
      <c r="I124" s="26">
        <f t="shared" si="11"/>
        <v>207432.2</v>
      </c>
      <c r="J124" s="35"/>
      <c r="K124" s="35"/>
      <c r="L124" s="35"/>
      <c r="M124" s="35"/>
    </row>
    <row r="125" spans="2:16" s="1" customFormat="1" ht="14.25" x14ac:dyDescent="0.2">
      <c r="B125" s="57" t="s">
        <v>58</v>
      </c>
      <c r="C125" s="26">
        <v>69.23</v>
      </c>
      <c r="D125" s="26">
        <v>872.62</v>
      </c>
      <c r="E125" s="26">
        <v>0</v>
      </c>
      <c r="F125" s="26">
        <v>0</v>
      </c>
      <c r="G125" s="26">
        <v>0</v>
      </c>
      <c r="H125" s="26">
        <v>0</v>
      </c>
      <c r="I125" s="26">
        <f t="shared" si="11"/>
        <v>941.85</v>
      </c>
      <c r="J125" s="35"/>
      <c r="K125" s="35"/>
      <c r="L125" s="35"/>
      <c r="M125" s="35"/>
    </row>
    <row r="126" spans="2:16" s="1" customFormat="1" ht="16.5" customHeight="1" x14ac:dyDescent="0.2">
      <c r="B126" s="57" t="s">
        <v>59</v>
      </c>
      <c r="C126" s="26">
        <v>3244.24</v>
      </c>
      <c r="D126" s="26">
        <v>14162.8</v>
      </c>
      <c r="E126" s="26">
        <v>1785</v>
      </c>
      <c r="F126" s="26">
        <v>1785</v>
      </c>
      <c r="G126" s="26">
        <v>726</v>
      </c>
      <c r="H126" s="26">
        <v>0</v>
      </c>
      <c r="I126" s="26">
        <f t="shared" si="11"/>
        <v>21703.040000000001</v>
      </c>
      <c r="J126" s="35"/>
      <c r="K126" s="35"/>
      <c r="L126" s="35"/>
      <c r="M126" s="35"/>
    </row>
    <row r="127" spans="2:16" s="1" customFormat="1" ht="14.25" x14ac:dyDescent="0.2">
      <c r="B127" s="57" t="s">
        <v>61</v>
      </c>
      <c r="C127" s="26">
        <v>18391.95</v>
      </c>
      <c r="D127" s="26">
        <v>22412.26</v>
      </c>
      <c r="E127" s="26">
        <v>4395.96</v>
      </c>
      <c r="F127" s="26">
        <v>4395.95</v>
      </c>
      <c r="G127" s="26">
        <v>2899.34</v>
      </c>
      <c r="H127" s="26">
        <v>0</v>
      </c>
      <c r="I127" s="26">
        <f t="shared" si="11"/>
        <v>52495.459999999992</v>
      </c>
      <c r="J127" s="35"/>
      <c r="K127" s="35"/>
      <c r="L127" s="35"/>
      <c r="M127" s="35"/>
    </row>
    <row r="128" spans="2:16" s="1" customFormat="1" ht="14.25" x14ac:dyDescent="0.2">
      <c r="B128" s="209" t="s">
        <v>62</v>
      </c>
      <c r="C128" s="27">
        <v>5855.07</v>
      </c>
      <c r="D128" s="27">
        <v>3270.48</v>
      </c>
      <c r="E128" s="27">
        <v>479.71</v>
      </c>
      <c r="F128" s="27">
        <v>2000.2</v>
      </c>
      <c r="G128" s="27">
        <v>3286.67</v>
      </c>
      <c r="H128" s="27">
        <v>0</v>
      </c>
      <c r="I128" s="27">
        <f t="shared" si="11"/>
        <v>14892.13</v>
      </c>
      <c r="J128" s="35"/>
      <c r="K128" s="35"/>
      <c r="L128" s="35"/>
      <c r="M128" s="35"/>
    </row>
    <row r="129" spans="2:16" s="1" customFormat="1" ht="14.25" x14ac:dyDescent="0.2">
      <c r="B129" s="209" t="s">
        <v>549</v>
      </c>
      <c r="C129" s="27">
        <v>0</v>
      </c>
      <c r="D129" s="27">
        <v>0</v>
      </c>
      <c r="E129" s="27">
        <v>0</v>
      </c>
      <c r="F129" s="219">
        <v>31872</v>
      </c>
      <c r="G129" s="219">
        <v>0</v>
      </c>
      <c r="H129" s="219">
        <v>0</v>
      </c>
      <c r="I129" s="219">
        <f t="shared" si="11"/>
        <v>31872</v>
      </c>
      <c r="J129" s="35"/>
      <c r="K129" s="35"/>
      <c r="L129" s="35"/>
      <c r="M129" s="35"/>
    </row>
    <row r="130" spans="2:16" s="1" customFormat="1" ht="21" customHeight="1" x14ac:dyDescent="0.2">
      <c r="B130" s="211" t="s">
        <v>96</v>
      </c>
      <c r="C130" s="45">
        <f t="shared" ref="C130:H130" si="13">C120+C121+C122+C128+C129</f>
        <v>478921.34</v>
      </c>
      <c r="D130" s="45">
        <f t="shared" si="13"/>
        <v>830219.61999999988</v>
      </c>
      <c r="E130" s="45">
        <f t="shared" si="13"/>
        <v>131343.38999999998</v>
      </c>
      <c r="F130" s="45">
        <f t="shared" si="13"/>
        <v>208272.91000000003</v>
      </c>
      <c r="G130" s="45">
        <f t="shared" si="13"/>
        <v>199182.00000000003</v>
      </c>
      <c r="H130" s="45">
        <f t="shared" si="13"/>
        <v>16.600000000000001</v>
      </c>
      <c r="I130" s="45">
        <f t="shared" si="11"/>
        <v>1847955.8599999999</v>
      </c>
      <c r="J130" s="35"/>
      <c r="K130" s="35"/>
      <c r="L130" s="35"/>
      <c r="M130" s="35"/>
    </row>
    <row r="131" spans="2:16" s="1" customFormat="1" ht="14.25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</row>
    <row r="132" spans="2:16" s="1" customFormat="1" ht="14.25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s="1" customFormat="1" ht="14.25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2:16" s="1" customFormat="1" ht="14.25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2:16" s="1" customFormat="1" ht="14.25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2:16" s="1" customFormat="1" ht="14.25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2:16" s="1" customFormat="1" ht="14.25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6" s="1" customFormat="1" ht="14.25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6" s="1" customFormat="1" ht="14.25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s="1" customFormat="1" ht="14.25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s="1" customFormat="1" ht="14.25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s="1" customFormat="1" ht="14.25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s="1" customFormat="1" ht="14.25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s="1" customFormat="1" ht="14.25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s="1" customFormat="1" ht="14.25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s="1" customFormat="1" ht="14.25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s="1" customFormat="1" ht="14.25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s="1" customFormat="1" ht="14.25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s="1" customFormat="1" ht="14.25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s="1" customFormat="1" ht="18" x14ac:dyDescent="0.25">
      <c r="B150" s="203" t="s">
        <v>140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s="1" customFormat="1" ht="14.25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s="1" customFormat="1" ht="22.5" customHeight="1" x14ac:dyDescent="0.2">
      <c r="B152" s="572" t="s">
        <v>100</v>
      </c>
      <c r="C152" s="572"/>
      <c r="D152" s="572"/>
      <c r="E152" s="572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s="1" customFormat="1" ht="14.25" x14ac:dyDescent="0.2">
      <c r="B153" s="562" t="s">
        <v>132</v>
      </c>
      <c r="C153" s="562"/>
      <c r="D153" s="562"/>
      <c r="E153" s="48">
        <v>31474.13</v>
      </c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2:16" s="1" customFormat="1" ht="15" customHeight="1" x14ac:dyDescent="0.2">
      <c r="B154" s="562" t="s">
        <v>134</v>
      </c>
      <c r="C154" s="562"/>
      <c r="D154" s="562"/>
      <c r="E154" s="48">
        <v>46102.5</v>
      </c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2:16" s="1" customFormat="1" ht="19.5" customHeight="1" x14ac:dyDescent="0.2">
      <c r="B155" s="570" t="s">
        <v>96</v>
      </c>
      <c r="C155" s="570"/>
      <c r="D155" s="570"/>
      <c r="E155" s="220">
        <f>SUM(E153:E154)</f>
        <v>77576.63</v>
      </c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2:16" s="1" customFormat="1" ht="14.25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2:16" s="69" customFormat="1" ht="47.25" customHeight="1" x14ac:dyDescent="0.25">
      <c r="B157" s="52" t="s">
        <v>52</v>
      </c>
      <c r="C157" s="206" t="s">
        <v>993</v>
      </c>
      <c r="D157" s="588" t="s">
        <v>542</v>
      </c>
      <c r="E157" s="588"/>
      <c r="F157" s="206" t="s">
        <v>543</v>
      </c>
      <c r="G157" s="206" t="s">
        <v>544</v>
      </c>
      <c r="H157" s="37" t="s">
        <v>545</v>
      </c>
      <c r="I157" s="192" t="s">
        <v>96</v>
      </c>
    </row>
    <row r="158" spans="2:16" s="69" customFormat="1" x14ac:dyDescent="0.25">
      <c r="B158" s="207"/>
      <c r="C158" s="102" t="s">
        <v>304</v>
      </c>
      <c r="D158" s="102" t="s">
        <v>316</v>
      </c>
      <c r="E158" s="102" t="s">
        <v>318</v>
      </c>
      <c r="F158" s="102" t="s">
        <v>327</v>
      </c>
      <c r="G158" s="102" t="s">
        <v>320</v>
      </c>
      <c r="H158" s="102" t="s">
        <v>336</v>
      </c>
      <c r="I158" s="208"/>
    </row>
    <row r="159" spans="2:16" s="1" customFormat="1" ht="14.25" x14ac:dyDescent="0.2">
      <c r="B159" s="209" t="s">
        <v>53</v>
      </c>
      <c r="C159" s="27">
        <v>0</v>
      </c>
      <c r="D159" s="27">
        <v>478315</v>
      </c>
      <c r="E159" s="27">
        <v>1007008.4</v>
      </c>
      <c r="F159" s="27">
        <v>0</v>
      </c>
      <c r="G159" s="27">
        <v>240360</v>
      </c>
      <c r="H159" s="27">
        <v>0</v>
      </c>
      <c r="I159" s="210">
        <f>C159+D159+E159+F159+G159+H159</f>
        <v>1725683.4</v>
      </c>
      <c r="J159" s="35"/>
      <c r="K159" s="35"/>
      <c r="L159" s="35"/>
      <c r="M159" s="35"/>
    </row>
    <row r="160" spans="2:16" s="1" customFormat="1" ht="14.25" x14ac:dyDescent="0.2">
      <c r="B160" s="209" t="s">
        <v>54</v>
      </c>
      <c r="C160" s="27">
        <v>0</v>
      </c>
      <c r="D160" s="27">
        <v>176996</v>
      </c>
      <c r="E160" s="27">
        <v>370179.23</v>
      </c>
      <c r="F160" s="27">
        <v>0</v>
      </c>
      <c r="G160" s="27">
        <v>85935</v>
      </c>
      <c r="H160" s="27">
        <v>0</v>
      </c>
      <c r="I160" s="210">
        <f>C160+D160+E160+F160+G160+H160</f>
        <v>633110.23</v>
      </c>
      <c r="J160" s="35"/>
      <c r="K160" s="35"/>
      <c r="L160" s="35"/>
      <c r="M160" s="35"/>
    </row>
    <row r="161" spans="2:16" s="1" customFormat="1" ht="14.25" x14ac:dyDescent="0.2">
      <c r="B161" s="209" t="s">
        <v>55</v>
      </c>
      <c r="C161" s="27">
        <f>SUM(C162:C167)</f>
        <v>110000</v>
      </c>
      <c r="D161" s="27">
        <f>SUM(D162:D167)</f>
        <v>105729.42000000001</v>
      </c>
      <c r="E161" s="27">
        <f t="shared" ref="E161:I161" si="14">SUM(E162:E167)</f>
        <v>278697.15999999997</v>
      </c>
      <c r="F161" s="27">
        <f t="shared" si="14"/>
        <v>0</v>
      </c>
      <c r="G161" s="27">
        <f t="shared" si="14"/>
        <v>34890</v>
      </c>
      <c r="H161" s="27">
        <f t="shared" si="14"/>
        <v>162901.1</v>
      </c>
      <c r="I161" s="27">
        <f t="shared" si="14"/>
        <v>692217.67999999993</v>
      </c>
      <c r="J161" s="35"/>
      <c r="K161" s="35"/>
      <c r="L161" s="35"/>
      <c r="M161" s="35"/>
    </row>
    <row r="162" spans="2:16" s="1" customFormat="1" ht="14.25" x14ac:dyDescent="0.2">
      <c r="B162" s="57" t="s">
        <v>66</v>
      </c>
      <c r="C162" s="26">
        <v>0</v>
      </c>
      <c r="D162" s="26">
        <v>50</v>
      </c>
      <c r="E162" s="26">
        <v>541</v>
      </c>
      <c r="F162" s="26">
        <v>0</v>
      </c>
      <c r="G162" s="26">
        <v>0</v>
      </c>
      <c r="H162" s="26">
        <v>0</v>
      </c>
      <c r="I162" s="194">
        <f t="shared" ref="I162:I169" si="15">C162+D162+E162+F162+G162+H162</f>
        <v>591</v>
      </c>
      <c r="J162" s="35"/>
      <c r="K162" s="35"/>
      <c r="L162" s="35"/>
      <c r="M162" s="35"/>
    </row>
    <row r="163" spans="2:16" s="1" customFormat="1" ht="14.25" x14ac:dyDescent="0.2">
      <c r="B163" s="57" t="s">
        <v>56</v>
      </c>
      <c r="C163" s="26">
        <v>0</v>
      </c>
      <c r="D163" s="26">
        <v>38727.379999999997</v>
      </c>
      <c r="E163" s="26">
        <v>171990.79</v>
      </c>
      <c r="F163" s="26">
        <v>0</v>
      </c>
      <c r="G163" s="26">
        <v>23580</v>
      </c>
      <c r="H163" s="26">
        <v>0</v>
      </c>
      <c r="I163" s="194">
        <f t="shared" si="15"/>
        <v>234298.17</v>
      </c>
      <c r="J163" s="35"/>
      <c r="K163" s="35"/>
      <c r="L163" s="35"/>
      <c r="M163" s="35"/>
    </row>
    <row r="164" spans="2:16" s="1" customFormat="1" ht="14.25" x14ac:dyDescent="0.2">
      <c r="B164" s="57" t="s">
        <v>57</v>
      </c>
      <c r="C164" s="26">
        <v>0</v>
      </c>
      <c r="D164" s="26">
        <v>28940.75</v>
      </c>
      <c r="E164" s="26">
        <v>20444.900000000001</v>
      </c>
      <c r="F164" s="26">
        <v>0</v>
      </c>
      <c r="G164" s="26">
        <v>2200</v>
      </c>
      <c r="H164" s="26">
        <v>162901.1</v>
      </c>
      <c r="I164" s="194">
        <f t="shared" si="15"/>
        <v>214486.75</v>
      </c>
      <c r="J164" s="35"/>
      <c r="K164" s="35"/>
      <c r="L164" s="35"/>
      <c r="M164" s="35"/>
    </row>
    <row r="165" spans="2:16" s="1" customFormat="1" ht="14.25" customHeight="1" x14ac:dyDescent="0.2">
      <c r="B165" s="57" t="s">
        <v>59</v>
      </c>
      <c r="C165" s="26">
        <v>0</v>
      </c>
      <c r="D165" s="26">
        <v>471.28</v>
      </c>
      <c r="E165" s="26">
        <v>13000.97</v>
      </c>
      <c r="F165" s="26">
        <v>0</v>
      </c>
      <c r="G165" s="26">
        <v>1000</v>
      </c>
      <c r="H165" s="26">
        <v>0</v>
      </c>
      <c r="I165" s="194">
        <f t="shared" si="15"/>
        <v>14472.25</v>
      </c>
      <c r="J165" s="35"/>
      <c r="K165" s="35"/>
      <c r="L165" s="35"/>
      <c r="M165" s="35"/>
    </row>
    <row r="166" spans="2:16" s="1" customFormat="1" ht="14.25" x14ac:dyDescent="0.2">
      <c r="B166" s="57" t="s">
        <v>141</v>
      </c>
      <c r="C166" s="26">
        <v>110000</v>
      </c>
      <c r="D166" s="26">
        <v>1600</v>
      </c>
      <c r="E166" s="26">
        <v>2339.58</v>
      </c>
      <c r="F166" s="26">
        <v>0</v>
      </c>
      <c r="G166" s="26">
        <v>0</v>
      </c>
      <c r="H166" s="26">
        <v>0</v>
      </c>
      <c r="I166" s="194">
        <f t="shared" si="15"/>
        <v>113939.58</v>
      </c>
      <c r="J166" s="35"/>
      <c r="K166" s="35"/>
      <c r="L166" s="35"/>
      <c r="M166" s="35"/>
    </row>
    <row r="167" spans="2:16" s="1" customFormat="1" ht="14.25" x14ac:dyDescent="0.2">
      <c r="B167" s="57" t="s">
        <v>61</v>
      </c>
      <c r="C167" s="26">
        <v>0</v>
      </c>
      <c r="D167" s="26">
        <v>35940.01</v>
      </c>
      <c r="E167" s="26">
        <v>70379.92</v>
      </c>
      <c r="F167" s="26">
        <v>0</v>
      </c>
      <c r="G167" s="26">
        <v>8110</v>
      </c>
      <c r="H167" s="26">
        <v>0</v>
      </c>
      <c r="I167" s="194">
        <f t="shared" si="15"/>
        <v>114429.93</v>
      </c>
      <c r="J167" s="35"/>
      <c r="K167" s="35"/>
      <c r="L167" s="35"/>
      <c r="M167" s="35"/>
    </row>
    <row r="168" spans="2:16" s="1" customFormat="1" ht="14.25" x14ac:dyDescent="0.2">
      <c r="B168" s="209" t="s">
        <v>62</v>
      </c>
      <c r="C168" s="27">
        <v>0</v>
      </c>
      <c r="D168" s="27">
        <v>7563.26</v>
      </c>
      <c r="E168" s="27">
        <v>9886.75</v>
      </c>
      <c r="F168" s="27">
        <v>0</v>
      </c>
      <c r="G168" s="27">
        <v>4818</v>
      </c>
      <c r="H168" s="27">
        <v>66.400000000000006</v>
      </c>
      <c r="I168" s="210">
        <f t="shared" si="15"/>
        <v>22334.410000000003</v>
      </c>
      <c r="J168" s="35"/>
      <c r="K168" s="35"/>
      <c r="L168" s="35"/>
      <c r="M168" s="35"/>
    </row>
    <row r="169" spans="2:16" s="1" customFormat="1" ht="15.75" customHeight="1" x14ac:dyDescent="0.2">
      <c r="B169" s="211" t="s">
        <v>96</v>
      </c>
      <c r="C169" s="45">
        <f t="shared" ref="C169:H169" si="16">C159+C160+C161+C168</f>
        <v>110000</v>
      </c>
      <c r="D169" s="45">
        <f t="shared" si="16"/>
        <v>768603.68</v>
      </c>
      <c r="E169" s="45">
        <f t="shared" si="16"/>
        <v>1665771.5399999998</v>
      </c>
      <c r="F169" s="45">
        <f t="shared" si="16"/>
        <v>0</v>
      </c>
      <c r="G169" s="45">
        <f t="shared" si="16"/>
        <v>366003</v>
      </c>
      <c r="H169" s="45">
        <f t="shared" si="16"/>
        <v>162967.5</v>
      </c>
      <c r="I169" s="212">
        <f t="shared" si="15"/>
        <v>3073345.7199999997</v>
      </c>
      <c r="J169" s="35"/>
      <c r="K169" s="35"/>
      <c r="L169" s="35"/>
      <c r="M169" s="35"/>
    </row>
    <row r="170" spans="2:16" s="1" customFormat="1" ht="14.25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2:16" s="1" customFormat="1" ht="14.25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2:16" s="1" customFormat="1" ht="14.25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2:16" s="1" customFormat="1" ht="17.25" customHeight="1" x14ac:dyDescent="0.25">
      <c r="B173" s="203" t="s">
        <v>142</v>
      </c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2:16" s="1" customFormat="1" ht="7.5" customHeight="1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2:16" s="1" customFormat="1" ht="19.5" customHeight="1" x14ac:dyDescent="0.2">
      <c r="B175" s="572" t="s">
        <v>100</v>
      </c>
      <c r="C175" s="572"/>
      <c r="D175" s="572"/>
      <c r="E175" s="572"/>
      <c r="F175" s="204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2:16" s="1" customFormat="1" ht="14.25" x14ac:dyDescent="0.2">
      <c r="B176" s="562" t="s">
        <v>132</v>
      </c>
      <c r="C176" s="562"/>
      <c r="D176" s="562"/>
      <c r="E176" s="48">
        <v>4526.7</v>
      </c>
      <c r="F176" s="21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2:16" s="1" customFormat="1" ht="25.5" customHeight="1" x14ac:dyDescent="0.2">
      <c r="B177" s="562" t="s">
        <v>632</v>
      </c>
      <c r="C177" s="562"/>
      <c r="D177" s="562"/>
      <c r="E177" s="48">
        <v>400</v>
      </c>
      <c r="F177" s="21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2:16" s="1" customFormat="1" ht="14.25" x14ac:dyDescent="0.2">
      <c r="B178" s="562" t="s">
        <v>133</v>
      </c>
      <c r="C178" s="562"/>
      <c r="D178" s="562"/>
      <c r="E178" s="48">
        <v>26646.3</v>
      </c>
      <c r="F178" s="21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2:16" s="1" customFormat="1" ht="14.25" x14ac:dyDescent="0.2">
      <c r="B179" s="562" t="s">
        <v>134</v>
      </c>
      <c r="C179" s="562"/>
      <c r="D179" s="562"/>
      <c r="E179" s="48">
        <v>13961.5</v>
      </c>
      <c r="F179" s="21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196" customFormat="1" x14ac:dyDescent="0.25">
      <c r="B180" s="589" t="s">
        <v>104</v>
      </c>
      <c r="C180" s="589"/>
      <c r="D180" s="589"/>
      <c r="E180" s="41">
        <v>66441.179999999993</v>
      </c>
      <c r="F180" s="205"/>
    </row>
    <row r="181" spans="2:16" s="196" customFormat="1" x14ac:dyDescent="0.25">
      <c r="B181" s="57" t="s">
        <v>143</v>
      </c>
      <c r="C181" s="57"/>
      <c r="D181" s="57"/>
      <c r="E181" s="41">
        <v>465.37</v>
      </c>
      <c r="F181" s="205"/>
    </row>
    <row r="182" spans="2:16" s="1" customFormat="1" ht="19.5" customHeight="1" x14ac:dyDescent="0.2">
      <c r="B182" s="570" t="s">
        <v>96</v>
      </c>
      <c r="C182" s="570"/>
      <c r="D182" s="570"/>
      <c r="E182" s="220">
        <f>SUM(E176:E181)</f>
        <v>112441.04999999999</v>
      </c>
      <c r="F182" s="221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2:16" s="1" customFormat="1" ht="7.5" customHeight="1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2:16" s="69" customFormat="1" ht="38.25" x14ac:dyDescent="0.25">
      <c r="B184" s="52" t="s">
        <v>52</v>
      </c>
      <c r="C184" s="588" t="s">
        <v>542</v>
      </c>
      <c r="D184" s="588"/>
      <c r="E184" s="588" t="s">
        <v>543</v>
      </c>
      <c r="F184" s="588"/>
      <c r="G184" s="588"/>
      <c r="H184" s="206" t="s">
        <v>544</v>
      </c>
      <c r="I184" s="37" t="s">
        <v>545</v>
      </c>
      <c r="J184" s="192" t="s">
        <v>96</v>
      </c>
    </row>
    <row r="185" spans="2:16" s="69" customFormat="1" x14ac:dyDescent="0.25">
      <c r="B185" s="207"/>
      <c r="C185" s="102" t="s">
        <v>316</v>
      </c>
      <c r="D185" s="102" t="s">
        <v>318</v>
      </c>
      <c r="E185" s="102" t="s">
        <v>324</v>
      </c>
      <c r="F185" s="102" t="s">
        <v>325</v>
      </c>
      <c r="G185" s="102" t="s">
        <v>327</v>
      </c>
      <c r="H185" s="102" t="s">
        <v>320</v>
      </c>
      <c r="I185" s="102" t="s">
        <v>336</v>
      </c>
      <c r="J185" s="208"/>
    </row>
    <row r="186" spans="2:16" s="1" customFormat="1" ht="14.25" x14ac:dyDescent="0.2">
      <c r="B186" s="209" t="s">
        <v>53</v>
      </c>
      <c r="C186" s="27">
        <v>178240.53</v>
      </c>
      <c r="D186" s="27">
        <v>278347</v>
      </c>
      <c r="E186" s="27">
        <v>0</v>
      </c>
      <c r="F186" s="27">
        <v>24616</v>
      </c>
      <c r="G186" s="27">
        <v>38090</v>
      </c>
      <c r="H186" s="27">
        <v>60808</v>
      </c>
      <c r="I186" s="27">
        <v>0</v>
      </c>
      <c r="J186" s="210">
        <f t="shared" ref="J186:J196" si="17">C186+D186+F186+G186+H186+I186+E186</f>
        <v>580101.53</v>
      </c>
      <c r="K186" s="35"/>
      <c r="L186" s="35"/>
      <c r="M186" s="35"/>
      <c r="N186" s="35"/>
    </row>
    <row r="187" spans="2:16" s="1" customFormat="1" ht="14.25" x14ac:dyDescent="0.2">
      <c r="B187" s="209" t="s">
        <v>54</v>
      </c>
      <c r="C187" s="27">
        <v>62244.49</v>
      </c>
      <c r="D187" s="27">
        <v>95777</v>
      </c>
      <c r="E187" s="27">
        <v>0</v>
      </c>
      <c r="F187" s="27">
        <v>8784</v>
      </c>
      <c r="G187" s="27">
        <v>13269</v>
      </c>
      <c r="H187" s="27">
        <v>22896</v>
      </c>
      <c r="I187" s="27">
        <v>0</v>
      </c>
      <c r="J187" s="210">
        <f t="shared" si="17"/>
        <v>202970.49</v>
      </c>
      <c r="K187" s="35"/>
      <c r="L187" s="35"/>
      <c r="M187" s="35"/>
      <c r="N187" s="35"/>
    </row>
    <row r="188" spans="2:16" s="1" customFormat="1" ht="14.25" x14ac:dyDescent="0.2">
      <c r="B188" s="209" t="s">
        <v>55</v>
      </c>
      <c r="C188" s="27">
        <f t="shared" ref="C188:I188" si="18">SUM(C189:C193)</f>
        <v>51597.979999999996</v>
      </c>
      <c r="D188" s="27">
        <f t="shared" si="18"/>
        <v>129682.64</v>
      </c>
      <c r="E188" s="27">
        <f t="shared" si="18"/>
        <v>17048.900000000001</v>
      </c>
      <c r="F188" s="27">
        <f t="shared" si="18"/>
        <v>42268</v>
      </c>
      <c r="G188" s="27">
        <f t="shared" si="18"/>
        <v>107543.87</v>
      </c>
      <c r="H188" s="27">
        <f t="shared" si="18"/>
        <v>15542.6</v>
      </c>
      <c r="I188" s="27">
        <f t="shared" si="18"/>
        <v>33.200000000000003</v>
      </c>
      <c r="J188" s="210">
        <f t="shared" si="17"/>
        <v>363717.19</v>
      </c>
      <c r="K188" s="35"/>
      <c r="L188" s="35"/>
      <c r="M188" s="35"/>
      <c r="N188" s="35"/>
    </row>
    <row r="189" spans="2:16" s="1" customFormat="1" ht="14.25" x14ac:dyDescent="0.2">
      <c r="B189" s="57" t="s">
        <v>56</v>
      </c>
      <c r="C189" s="26">
        <v>25469</v>
      </c>
      <c r="D189" s="26">
        <v>68203.19</v>
      </c>
      <c r="E189" s="26">
        <v>0</v>
      </c>
      <c r="F189" s="26">
        <v>10300</v>
      </c>
      <c r="G189" s="26">
        <v>12529.82</v>
      </c>
      <c r="H189" s="26">
        <v>6020</v>
      </c>
      <c r="I189" s="26">
        <v>0</v>
      </c>
      <c r="J189" s="194">
        <f t="shared" si="17"/>
        <v>122522.01000000001</v>
      </c>
      <c r="K189" s="35"/>
      <c r="L189" s="35"/>
      <c r="M189" s="35"/>
      <c r="N189" s="35"/>
    </row>
    <row r="190" spans="2:16" s="1" customFormat="1" ht="14.25" x14ac:dyDescent="0.2">
      <c r="B190" s="57" t="s">
        <v>57</v>
      </c>
      <c r="C190" s="26">
        <v>11458</v>
      </c>
      <c r="D190" s="26">
        <v>16860</v>
      </c>
      <c r="E190" s="26">
        <v>11260.9</v>
      </c>
      <c r="F190" s="26">
        <v>17168</v>
      </c>
      <c r="G190" s="26">
        <v>70972.990000000005</v>
      </c>
      <c r="H190" s="26">
        <v>4589.6000000000004</v>
      </c>
      <c r="I190" s="26">
        <v>33.200000000000003</v>
      </c>
      <c r="J190" s="194">
        <f t="shared" si="17"/>
        <v>132342.69</v>
      </c>
      <c r="K190" s="35"/>
      <c r="L190" s="35"/>
      <c r="M190" s="35"/>
      <c r="N190" s="35"/>
    </row>
    <row r="191" spans="2:16" s="1" customFormat="1" ht="14.25" x14ac:dyDescent="0.2">
      <c r="B191" s="57" t="s">
        <v>58</v>
      </c>
      <c r="C191" s="26">
        <v>600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194">
        <f t="shared" si="17"/>
        <v>600</v>
      </c>
      <c r="K191" s="35"/>
      <c r="L191" s="35"/>
      <c r="M191" s="35"/>
      <c r="N191" s="35"/>
    </row>
    <row r="192" spans="2:16" s="1" customFormat="1" ht="15.75" customHeight="1" x14ac:dyDescent="0.2">
      <c r="B192" s="57" t="s">
        <v>59</v>
      </c>
      <c r="C192" s="26">
        <v>6280</v>
      </c>
      <c r="D192" s="26">
        <v>24500</v>
      </c>
      <c r="E192" s="26">
        <v>0</v>
      </c>
      <c r="F192" s="26">
        <v>10600</v>
      </c>
      <c r="G192" s="26">
        <v>2600</v>
      </c>
      <c r="H192" s="26">
        <v>3500</v>
      </c>
      <c r="I192" s="26">
        <v>0</v>
      </c>
      <c r="J192" s="194">
        <f t="shared" si="17"/>
        <v>47480</v>
      </c>
      <c r="K192" s="35"/>
      <c r="L192" s="35"/>
      <c r="M192" s="35"/>
      <c r="N192" s="35"/>
    </row>
    <row r="193" spans="2:16" s="1" customFormat="1" ht="14.25" x14ac:dyDescent="0.2">
      <c r="B193" s="57" t="s">
        <v>61</v>
      </c>
      <c r="C193" s="26">
        <v>7790.98</v>
      </c>
      <c r="D193" s="26">
        <v>20119.45</v>
      </c>
      <c r="E193" s="26">
        <v>5788</v>
      </c>
      <c r="F193" s="26">
        <v>4200</v>
      </c>
      <c r="G193" s="26">
        <v>21441.06</v>
      </c>
      <c r="H193" s="26">
        <v>1433</v>
      </c>
      <c r="I193" s="26">
        <v>0</v>
      </c>
      <c r="J193" s="194">
        <f t="shared" si="17"/>
        <v>60772.490000000005</v>
      </c>
      <c r="K193" s="35"/>
      <c r="L193" s="35"/>
      <c r="M193" s="35"/>
      <c r="N193" s="35"/>
    </row>
    <row r="194" spans="2:16" s="1" customFormat="1" ht="14.25" x14ac:dyDescent="0.2">
      <c r="B194" s="209" t="s">
        <v>62</v>
      </c>
      <c r="C194" s="27">
        <v>1099</v>
      </c>
      <c r="D194" s="27">
        <v>4180</v>
      </c>
      <c r="E194" s="27"/>
      <c r="F194" s="27">
        <v>200</v>
      </c>
      <c r="G194" s="27">
        <v>282.18</v>
      </c>
      <c r="H194" s="27">
        <v>249.4</v>
      </c>
      <c r="I194" s="27">
        <v>0</v>
      </c>
      <c r="J194" s="210">
        <f t="shared" si="17"/>
        <v>6010.58</v>
      </c>
      <c r="K194" s="35"/>
      <c r="L194" s="35"/>
      <c r="M194" s="35"/>
      <c r="N194" s="35"/>
    </row>
    <row r="195" spans="2:16" s="1" customFormat="1" ht="14.25" x14ac:dyDescent="0.2">
      <c r="B195" s="209" t="s">
        <v>547</v>
      </c>
      <c r="C195" s="27"/>
      <c r="D195" s="27">
        <v>0</v>
      </c>
      <c r="E195" s="27"/>
      <c r="F195" s="27">
        <v>0</v>
      </c>
      <c r="G195" s="27">
        <v>7220</v>
      </c>
      <c r="H195" s="27">
        <v>0</v>
      </c>
      <c r="I195" s="27">
        <v>0</v>
      </c>
      <c r="J195" s="210">
        <f t="shared" si="17"/>
        <v>7220</v>
      </c>
      <c r="K195" s="35"/>
      <c r="L195" s="35"/>
      <c r="M195" s="35"/>
      <c r="N195" s="35"/>
    </row>
    <row r="196" spans="2:16" s="1" customFormat="1" ht="22.5" customHeight="1" x14ac:dyDescent="0.2">
      <c r="B196" s="211" t="s">
        <v>96</v>
      </c>
      <c r="C196" s="45">
        <f>C186+C187+C188+C194</f>
        <v>293182</v>
      </c>
      <c r="D196" s="45">
        <f>D186+D187+D188+D194+D195</f>
        <v>507986.64</v>
      </c>
      <c r="E196" s="45">
        <f>E186+E187+E188+E194</f>
        <v>17048.900000000001</v>
      </c>
      <c r="F196" s="45">
        <f>F186+F187+F188+F194</f>
        <v>75868</v>
      </c>
      <c r="G196" s="45">
        <f>G186+G187+G188+G194+G195</f>
        <v>166405.04999999999</v>
      </c>
      <c r="H196" s="45">
        <f>H186+H187+H188+H194</f>
        <v>99496</v>
      </c>
      <c r="I196" s="45">
        <f>I186+I187+I188+I194</f>
        <v>33.200000000000003</v>
      </c>
      <c r="J196" s="212">
        <f t="shared" si="17"/>
        <v>1160019.7899999998</v>
      </c>
      <c r="K196" s="35"/>
      <c r="L196" s="35"/>
      <c r="M196" s="35"/>
      <c r="N196" s="35"/>
    </row>
    <row r="197" spans="2:16" s="1" customFormat="1" ht="14.25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2:16" s="1" customFormat="1" ht="14.25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2:16" s="1" customFormat="1" ht="14.25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2:16" s="1" customFormat="1" ht="14.25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2:16" s="1" customFormat="1" ht="14.25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2:16" s="1" customFormat="1" ht="14.25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2:16" s="1" customFormat="1" ht="14.25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s="1" customFormat="1" ht="14.25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s="1" customFormat="1" ht="14.25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s="1" customFormat="1" ht="14.25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2:16" s="1" customFormat="1" ht="14.25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2:16" s="1" customFormat="1" ht="14.25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16" s="1" customFormat="1" ht="14.25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2:16" s="1" customFormat="1" ht="14.25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2:16" s="1" customFormat="1" ht="14.25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2:16" s="1" customFormat="1" ht="14.25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2:16" s="1" customFormat="1" ht="14.25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2:16" s="1" customFormat="1" ht="14.25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2:16" s="1" customFormat="1" ht="14.25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2:16" s="1" customFormat="1" ht="14.25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2:16" s="1" customFormat="1" ht="14.25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2:16" s="1" customFormat="1" ht="14.25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2:16" s="1" customFormat="1" ht="14.25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2:16" s="1" customFormat="1" ht="14.25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2:16" s="1" customFormat="1" ht="14.25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2:16" s="1" customFormat="1" ht="18" x14ac:dyDescent="0.25">
      <c r="B222" s="203" t="s">
        <v>144</v>
      </c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2:16" s="1" customFormat="1" ht="7.5" customHeight="1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2:16" s="1" customFormat="1" ht="20.25" customHeight="1" x14ac:dyDescent="0.2">
      <c r="B224" s="572" t="s">
        <v>100</v>
      </c>
      <c r="C224" s="572"/>
      <c r="D224" s="572"/>
      <c r="E224" s="572"/>
      <c r="F224" s="204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2:16" s="1" customFormat="1" ht="14.25" x14ac:dyDescent="0.2">
      <c r="B225" s="562" t="s">
        <v>132</v>
      </c>
      <c r="C225" s="562"/>
      <c r="D225" s="562"/>
      <c r="E225" s="26">
        <v>810.34</v>
      </c>
      <c r="F225" s="58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2:16" s="1" customFormat="1" ht="24.75" customHeight="1" x14ac:dyDescent="0.2">
      <c r="B226" s="562" t="s">
        <v>632</v>
      </c>
      <c r="C226" s="562"/>
      <c r="D226" s="562"/>
      <c r="E226" s="26">
        <v>400</v>
      </c>
      <c r="F226" s="58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2:16" s="1" customFormat="1" ht="14.25" x14ac:dyDescent="0.2">
      <c r="B227" s="562" t="s">
        <v>47</v>
      </c>
      <c r="C227" s="562"/>
      <c r="D227" s="562"/>
      <c r="E227" s="26">
        <v>56588.13</v>
      </c>
      <c r="F227" s="58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2:16" s="1" customFormat="1" ht="14.25" x14ac:dyDescent="0.2">
      <c r="B228" s="562" t="s">
        <v>134</v>
      </c>
      <c r="C228" s="562"/>
      <c r="D228" s="562"/>
      <c r="E228" s="26">
        <v>32938.019999999997</v>
      </c>
      <c r="F228" s="58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2:16" s="1" customFormat="1" ht="14.25" x14ac:dyDescent="0.2">
      <c r="B229" s="101" t="s">
        <v>104</v>
      </c>
      <c r="C229" s="101"/>
      <c r="D229" s="101"/>
      <c r="E229" s="26">
        <v>110875.76</v>
      </c>
      <c r="F229" s="58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2:16" s="1" customFormat="1" ht="21" customHeight="1" x14ac:dyDescent="0.2">
      <c r="B230" s="570" t="s">
        <v>96</v>
      </c>
      <c r="C230" s="570"/>
      <c r="D230" s="570"/>
      <c r="E230" s="45">
        <f>SUM(E225:E229)</f>
        <v>201612.25</v>
      </c>
      <c r="F230" s="222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2:16" s="1" customFormat="1" ht="9.75" customHeight="1" x14ac:dyDescent="0.2"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2:16" s="69" customFormat="1" ht="38.25" x14ac:dyDescent="0.25">
      <c r="B232" s="52" t="s">
        <v>52</v>
      </c>
      <c r="C232" s="588" t="s">
        <v>542</v>
      </c>
      <c r="D232" s="588"/>
      <c r="E232" s="588" t="s">
        <v>543</v>
      </c>
      <c r="F232" s="588"/>
      <c r="G232" s="37" t="s">
        <v>544</v>
      </c>
      <c r="H232" s="192" t="s">
        <v>96</v>
      </c>
    </row>
    <row r="233" spans="2:16" s="69" customFormat="1" x14ac:dyDescent="0.25">
      <c r="B233" s="207"/>
      <c r="C233" s="102" t="s">
        <v>316</v>
      </c>
      <c r="D233" s="102" t="s">
        <v>318</v>
      </c>
      <c r="E233" s="102" t="s">
        <v>325</v>
      </c>
      <c r="F233" s="102" t="s">
        <v>327</v>
      </c>
      <c r="G233" s="102" t="s">
        <v>320</v>
      </c>
      <c r="H233" s="208"/>
    </row>
    <row r="234" spans="2:16" s="1" customFormat="1" ht="14.25" x14ac:dyDescent="0.2">
      <c r="B234" s="209" t="s">
        <v>53</v>
      </c>
      <c r="C234" s="27">
        <v>405887.36</v>
      </c>
      <c r="D234" s="27">
        <v>731336.4</v>
      </c>
      <c r="E234" s="27">
        <v>54822.86</v>
      </c>
      <c r="F234" s="27">
        <v>78597.070000000007</v>
      </c>
      <c r="G234" s="27">
        <v>126657.55</v>
      </c>
      <c r="H234" s="210">
        <f t="shared" ref="H234:H245" si="19">C234+D234+E234+F234+G234</f>
        <v>1397301.2400000002</v>
      </c>
      <c r="I234" s="35"/>
      <c r="J234" s="35"/>
      <c r="K234" s="35"/>
      <c r="L234" s="35"/>
    </row>
    <row r="235" spans="2:16" s="1" customFormat="1" ht="14.25" x14ac:dyDescent="0.2">
      <c r="B235" s="209" t="s">
        <v>54</v>
      </c>
      <c r="C235" s="27">
        <v>147985.15</v>
      </c>
      <c r="D235" s="27">
        <v>265459.96999999997</v>
      </c>
      <c r="E235" s="27">
        <v>20768.05</v>
      </c>
      <c r="F235" s="27">
        <v>27699.47</v>
      </c>
      <c r="G235" s="27">
        <v>49499.25</v>
      </c>
      <c r="H235" s="210">
        <f t="shared" si="19"/>
        <v>511411.89</v>
      </c>
      <c r="I235" s="35"/>
      <c r="J235" s="35"/>
      <c r="K235" s="35"/>
      <c r="L235" s="35"/>
    </row>
    <row r="236" spans="2:16" s="1" customFormat="1" ht="14.25" x14ac:dyDescent="0.2">
      <c r="B236" s="209" t="s">
        <v>55</v>
      </c>
      <c r="C236" s="27">
        <f>SUM(C237:C243)</f>
        <v>90863.83</v>
      </c>
      <c r="D236" s="27">
        <f t="shared" ref="D236:G236" si="20">SUM(D237:D243)</f>
        <v>162362.26</v>
      </c>
      <c r="E236" s="27">
        <f t="shared" si="20"/>
        <v>94466.12</v>
      </c>
      <c r="F236" s="27">
        <f t="shared" si="20"/>
        <v>159404.48000000001</v>
      </c>
      <c r="G236" s="27">
        <f t="shared" si="20"/>
        <v>13109.57</v>
      </c>
      <c r="H236" s="210">
        <f t="shared" si="19"/>
        <v>520206.26000000007</v>
      </c>
      <c r="I236" s="35"/>
      <c r="J236" s="35"/>
      <c r="K236" s="35"/>
      <c r="L236" s="35"/>
    </row>
    <row r="237" spans="2:16" s="1" customFormat="1" ht="14.25" x14ac:dyDescent="0.2">
      <c r="B237" s="57" t="s">
        <v>94</v>
      </c>
      <c r="C237" s="26">
        <v>280</v>
      </c>
      <c r="D237" s="26">
        <v>2000</v>
      </c>
      <c r="E237" s="26">
        <v>0</v>
      </c>
      <c r="F237" s="26">
        <v>0</v>
      </c>
      <c r="G237" s="26">
        <v>0</v>
      </c>
      <c r="H237" s="194">
        <f t="shared" si="19"/>
        <v>2280</v>
      </c>
      <c r="I237" s="35"/>
      <c r="J237" s="35"/>
      <c r="K237" s="35"/>
      <c r="L237" s="35"/>
    </row>
    <row r="238" spans="2:16" s="1" customFormat="1" ht="14.25" x14ac:dyDescent="0.2">
      <c r="B238" s="57" t="s">
        <v>56</v>
      </c>
      <c r="C238" s="26">
        <v>31947</v>
      </c>
      <c r="D238" s="26">
        <v>60951.199999999997</v>
      </c>
      <c r="E238" s="26">
        <v>3500</v>
      </c>
      <c r="F238" s="26">
        <v>2700</v>
      </c>
      <c r="G238" s="26">
        <v>5000</v>
      </c>
      <c r="H238" s="194">
        <f t="shared" si="19"/>
        <v>104098.2</v>
      </c>
      <c r="I238" s="35"/>
      <c r="J238" s="35"/>
      <c r="K238" s="35"/>
      <c r="L238" s="35"/>
    </row>
    <row r="239" spans="2:16" s="1" customFormat="1" ht="14.25" x14ac:dyDescent="0.2">
      <c r="B239" s="57" t="s">
        <v>57</v>
      </c>
      <c r="C239" s="26">
        <v>24859.439999999999</v>
      </c>
      <c r="D239" s="26">
        <v>28749.67</v>
      </c>
      <c r="E239" s="26">
        <v>83366.11</v>
      </c>
      <c r="F239" s="26">
        <v>111451.86</v>
      </c>
      <c r="G239" s="26">
        <v>3910</v>
      </c>
      <c r="H239" s="194">
        <f t="shared" si="19"/>
        <v>252337.08000000002</v>
      </c>
      <c r="I239" s="35"/>
      <c r="J239" s="35"/>
      <c r="K239" s="35"/>
      <c r="L239" s="35"/>
    </row>
    <row r="240" spans="2:16" s="1" customFormat="1" ht="14.25" x14ac:dyDescent="0.2">
      <c r="B240" s="57" t="s">
        <v>58</v>
      </c>
      <c r="C240" s="26">
        <v>0</v>
      </c>
      <c r="D240" s="26">
        <v>980</v>
      </c>
      <c r="E240" s="26">
        <v>0</v>
      </c>
      <c r="F240" s="26">
        <v>0</v>
      </c>
      <c r="G240" s="26">
        <v>0</v>
      </c>
      <c r="H240" s="194">
        <f t="shared" si="19"/>
        <v>980</v>
      </c>
      <c r="I240" s="35"/>
      <c r="J240" s="35"/>
      <c r="K240" s="35"/>
      <c r="L240" s="35"/>
    </row>
    <row r="241" spans="2:16" s="1" customFormat="1" ht="14.25" x14ac:dyDescent="0.2">
      <c r="B241" s="57" t="s">
        <v>60</v>
      </c>
      <c r="C241" s="26">
        <v>0</v>
      </c>
      <c r="D241" s="26">
        <v>600</v>
      </c>
      <c r="E241" s="26">
        <v>0</v>
      </c>
      <c r="F241" s="26">
        <v>0</v>
      </c>
      <c r="G241" s="26">
        <v>0</v>
      </c>
      <c r="H241" s="194">
        <f t="shared" si="19"/>
        <v>600</v>
      </c>
      <c r="I241" s="35"/>
      <c r="J241" s="35"/>
      <c r="K241" s="35"/>
      <c r="L241" s="35"/>
    </row>
    <row r="242" spans="2:16" s="1" customFormat="1" ht="14.25" customHeight="1" x14ac:dyDescent="0.2">
      <c r="B242" s="57" t="s">
        <v>59</v>
      </c>
      <c r="C242" s="26">
        <v>8000</v>
      </c>
      <c r="D242" s="26">
        <v>16000</v>
      </c>
      <c r="E242" s="26">
        <v>2200</v>
      </c>
      <c r="F242" s="26">
        <v>2000</v>
      </c>
      <c r="G242" s="26">
        <v>0</v>
      </c>
      <c r="H242" s="194">
        <f t="shared" si="19"/>
        <v>28200</v>
      </c>
      <c r="I242" s="35"/>
      <c r="J242" s="35"/>
      <c r="K242" s="35"/>
      <c r="L242" s="35"/>
    </row>
    <row r="243" spans="2:16" s="1" customFormat="1" ht="14.25" x14ac:dyDescent="0.2">
      <c r="B243" s="57" t="s">
        <v>61</v>
      </c>
      <c r="C243" s="26">
        <v>25777.39</v>
      </c>
      <c r="D243" s="26">
        <v>53081.39</v>
      </c>
      <c r="E243" s="26">
        <v>5400.01</v>
      </c>
      <c r="F243" s="26">
        <v>43252.62</v>
      </c>
      <c r="G243" s="26">
        <v>4199.57</v>
      </c>
      <c r="H243" s="194">
        <f t="shared" si="19"/>
        <v>131710.98000000001</v>
      </c>
      <c r="I243" s="35"/>
      <c r="J243" s="35"/>
      <c r="K243" s="35"/>
      <c r="L243" s="35"/>
    </row>
    <row r="244" spans="2:16" s="1" customFormat="1" ht="14.25" x14ac:dyDescent="0.2">
      <c r="B244" s="209" t="s">
        <v>62</v>
      </c>
      <c r="C244" s="27">
        <v>2500</v>
      </c>
      <c r="D244" s="27">
        <v>7522.2</v>
      </c>
      <c r="E244" s="27">
        <v>3677</v>
      </c>
      <c r="F244" s="27">
        <v>4295</v>
      </c>
      <c r="G244" s="27">
        <v>1299.9100000000001</v>
      </c>
      <c r="H244" s="210">
        <f t="shared" si="19"/>
        <v>19294.11</v>
      </c>
      <c r="I244" s="35"/>
      <c r="J244" s="35"/>
      <c r="K244" s="35"/>
      <c r="L244" s="35"/>
    </row>
    <row r="245" spans="2:16" s="1" customFormat="1" ht="14.25" x14ac:dyDescent="0.2">
      <c r="B245" s="249" t="s">
        <v>548</v>
      </c>
      <c r="C245" s="30">
        <v>0</v>
      </c>
      <c r="D245" s="30">
        <v>23057.94</v>
      </c>
      <c r="E245" s="30">
        <v>0</v>
      </c>
      <c r="F245" s="30">
        <v>0</v>
      </c>
      <c r="G245" s="30">
        <v>0</v>
      </c>
      <c r="H245" s="250">
        <f t="shared" si="19"/>
        <v>23057.94</v>
      </c>
      <c r="I245" s="35"/>
      <c r="J245" s="35"/>
      <c r="K245" s="35"/>
      <c r="L245" s="35"/>
    </row>
    <row r="246" spans="2:16" s="1" customFormat="1" ht="24" customHeight="1" x14ac:dyDescent="0.2">
      <c r="B246" s="211" t="s">
        <v>96</v>
      </c>
      <c r="C246" s="45">
        <f>C234+C235+C236+C244</f>
        <v>647236.34</v>
      </c>
      <c r="D246" s="45">
        <f>D234+D235+D236+D244+D245</f>
        <v>1189738.7699999998</v>
      </c>
      <c r="E246" s="45">
        <f>E234+E235+E236+E244</f>
        <v>173734.03</v>
      </c>
      <c r="F246" s="45">
        <f>F234+F235+F236+F244</f>
        <v>269996.02</v>
      </c>
      <c r="G246" s="45">
        <f>G234+G235+G236+G244</f>
        <v>190566.28</v>
      </c>
      <c r="H246" s="212">
        <f>C246+D246+E246+F246+G246</f>
        <v>2471271.44</v>
      </c>
      <c r="I246" s="35"/>
      <c r="J246" s="35"/>
      <c r="K246" s="35"/>
      <c r="L246" s="35"/>
    </row>
    <row r="247" spans="2:16" s="1" customFormat="1" ht="14.25" x14ac:dyDescent="0.2">
      <c r="B247" s="35"/>
      <c r="C247" s="35"/>
      <c r="D247" s="35"/>
      <c r="E247" s="35"/>
      <c r="F247" s="35"/>
      <c r="G247" s="35"/>
      <c r="H247" s="35"/>
      <c r="I247" s="77"/>
      <c r="J247" s="77"/>
      <c r="K247" s="77"/>
      <c r="L247" s="35"/>
      <c r="M247" s="35"/>
      <c r="N247" s="35"/>
      <c r="O247" s="35"/>
      <c r="P247" s="35"/>
    </row>
    <row r="248" spans="2:16" s="1" customFormat="1" ht="14.25" x14ac:dyDescent="0.2">
      <c r="B248" s="35"/>
      <c r="C248" s="35"/>
      <c r="D248" s="35"/>
      <c r="E248" s="35"/>
      <c r="F248" s="35"/>
      <c r="G248" s="35"/>
      <c r="H248" s="35"/>
      <c r="I248" s="77"/>
      <c r="J248" s="77"/>
      <c r="K248" s="77"/>
      <c r="L248" s="35"/>
      <c r="M248" s="35"/>
      <c r="N248" s="35"/>
      <c r="O248" s="35"/>
      <c r="P248" s="35"/>
    </row>
    <row r="249" spans="2:16" s="1" customFormat="1" ht="14.25" x14ac:dyDescent="0.2">
      <c r="B249" s="35"/>
      <c r="C249" s="35"/>
      <c r="D249" s="35"/>
      <c r="E249" s="35"/>
      <c r="F249" s="35"/>
      <c r="G249" s="35"/>
      <c r="H249" s="35"/>
      <c r="I249" s="77"/>
      <c r="J249" s="77"/>
      <c r="K249" s="77"/>
      <c r="L249" s="35"/>
      <c r="M249" s="35"/>
      <c r="N249" s="35"/>
      <c r="O249" s="35"/>
      <c r="P249" s="35"/>
    </row>
    <row r="250" spans="2:16" s="1" customFormat="1" ht="18" x14ac:dyDescent="0.25">
      <c r="B250" s="203" t="s">
        <v>145</v>
      </c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2:16" s="1" customFormat="1" ht="7.5" customHeight="1" x14ac:dyDescent="0.2"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2:16" s="76" customFormat="1" ht="19.5" customHeight="1" x14ac:dyDescent="0.25">
      <c r="B252" s="572" t="s">
        <v>100</v>
      </c>
      <c r="C252" s="572"/>
      <c r="D252" s="572"/>
      <c r="E252" s="572"/>
      <c r="F252" s="204"/>
    </row>
    <row r="253" spans="2:16" s="1" customFormat="1" ht="14.25" x14ac:dyDescent="0.2">
      <c r="B253" s="562" t="s">
        <v>132</v>
      </c>
      <c r="C253" s="562"/>
      <c r="D253" s="562"/>
      <c r="E253" s="48">
        <v>9438.65</v>
      </c>
      <c r="F253" s="21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2:16" s="1" customFormat="1" ht="14.25" x14ac:dyDescent="0.2">
      <c r="B254" s="562" t="s">
        <v>133</v>
      </c>
      <c r="C254" s="562"/>
      <c r="D254" s="562"/>
      <c r="E254" s="48">
        <v>73619.399999999994</v>
      </c>
      <c r="F254" s="21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2:16" s="1" customFormat="1" ht="14.25" x14ac:dyDescent="0.2">
      <c r="B255" s="562" t="s">
        <v>134</v>
      </c>
      <c r="C255" s="562"/>
      <c r="D255" s="562"/>
      <c r="E255" s="48">
        <v>40444</v>
      </c>
      <c r="F255" s="21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2:16" s="196" customFormat="1" x14ac:dyDescent="0.25">
      <c r="B256" s="589" t="s">
        <v>104</v>
      </c>
      <c r="C256" s="589"/>
      <c r="D256" s="589"/>
      <c r="E256" s="41">
        <v>152470.17000000001</v>
      </c>
      <c r="F256" s="205"/>
    </row>
    <row r="257" spans="2:16" s="196" customFormat="1" x14ac:dyDescent="0.25">
      <c r="B257" s="57" t="s">
        <v>49</v>
      </c>
      <c r="C257" s="57"/>
      <c r="D257" s="57"/>
      <c r="E257" s="41">
        <v>1289.4100000000001</v>
      </c>
      <c r="F257" s="205"/>
    </row>
    <row r="258" spans="2:16" s="196" customFormat="1" ht="14.25" customHeight="1" x14ac:dyDescent="0.25">
      <c r="B258" s="57" t="s">
        <v>135</v>
      </c>
      <c r="C258" s="57"/>
      <c r="D258" s="57"/>
      <c r="E258" s="41">
        <v>4324</v>
      </c>
      <c r="F258" s="205"/>
    </row>
    <row r="259" spans="2:16" s="1" customFormat="1" ht="20.25" customHeight="1" x14ac:dyDescent="0.2">
      <c r="B259" s="570" t="s">
        <v>96</v>
      </c>
      <c r="C259" s="570"/>
      <c r="D259" s="570"/>
      <c r="E259" s="220">
        <f>SUM(E253:E258)</f>
        <v>281585.62999999995</v>
      </c>
      <c r="F259" s="221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2:16" s="1" customFormat="1" ht="10.5" customHeight="1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2:16" s="69" customFormat="1" ht="38.25" x14ac:dyDescent="0.25">
      <c r="B261" s="52" t="s">
        <v>52</v>
      </c>
      <c r="C261" s="588" t="s">
        <v>542</v>
      </c>
      <c r="D261" s="588"/>
      <c r="E261" s="588" t="s">
        <v>543</v>
      </c>
      <c r="F261" s="588"/>
      <c r="G261" s="206" t="s">
        <v>544</v>
      </c>
      <c r="H261" s="37" t="s">
        <v>545</v>
      </c>
      <c r="I261" s="192" t="s">
        <v>96</v>
      </c>
    </row>
    <row r="262" spans="2:16" s="69" customFormat="1" x14ac:dyDescent="0.25">
      <c r="B262" s="207"/>
      <c r="C262" s="102" t="s">
        <v>316</v>
      </c>
      <c r="D262" s="102" t="s">
        <v>318</v>
      </c>
      <c r="E262" s="102" t="s">
        <v>325</v>
      </c>
      <c r="F262" s="102" t="s">
        <v>327</v>
      </c>
      <c r="G262" s="102" t="s">
        <v>320</v>
      </c>
      <c r="H262" s="102" t="s">
        <v>336</v>
      </c>
      <c r="I262" s="208"/>
    </row>
    <row r="263" spans="2:16" s="1" customFormat="1" ht="14.25" x14ac:dyDescent="0.2">
      <c r="B263" s="209" t="s">
        <v>53</v>
      </c>
      <c r="C263" s="27">
        <v>664044.99</v>
      </c>
      <c r="D263" s="27">
        <v>783840.86</v>
      </c>
      <c r="E263" s="27">
        <v>57044</v>
      </c>
      <c r="F263" s="27">
        <v>60553</v>
      </c>
      <c r="G263" s="27">
        <v>182406</v>
      </c>
      <c r="H263" s="27">
        <v>0</v>
      </c>
      <c r="I263" s="210">
        <f t="shared" ref="I263:I274" si="21">C263+D263+E263+F263+G263+H263</f>
        <v>1747888.85</v>
      </c>
      <c r="J263" s="35"/>
      <c r="K263" s="35"/>
      <c r="L263" s="35"/>
      <c r="M263" s="35"/>
    </row>
    <row r="264" spans="2:16" s="1" customFormat="1" ht="14.25" x14ac:dyDescent="0.2">
      <c r="B264" s="209" t="s">
        <v>54</v>
      </c>
      <c r="C264" s="27">
        <v>234486.62</v>
      </c>
      <c r="D264" s="27">
        <v>274177.48</v>
      </c>
      <c r="E264" s="27">
        <v>20103</v>
      </c>
      <c r="F264" s="27">
        <v>22424</v>
      </c>
      <c r="G264" s="27">
        <v>73365</v>
      </c>
      <c r="H264" s="27">
        <v>0</v>
      </c>
      <c r="I264" s="210">
        <f t="shared" si="21"/>
        <v>624556.1</v>
      </c>
      <c r="J264" s="35"/>
      <c r="K264" s="35"/>
      <c r="L264" s="35"/>
      <c r="M264" s="35"/>
    </row>
    <row r="265" spans="2:16" s="1" customFormat="1" ht="14.25" x14ac:dyDescent="0.2">
      <c r="B265" s="209" t="s">
        <v>55</v>
      </c>
      <c r="C265" s="27">
        <f t="shared" ref="C265:H265" si="22">SUM(C266:C271)</f>
        <v>91619.16</v>
      </c>
      <c r="D265" s="27">
        <f t="shared" si="22"/>
        <v>263992.95999999996</v>
      </c>
      <c r="E265" s="27">
        <f t="shared" si="22"/>
        <v>293589</v>
      </c>
      <c r="F265" s="27">
        <f t="shared" si="22"/>
        <v>118691.49</v>
      </c>
      <c r="G265" s="27">
        <f t="shared" si="22"/>
        <v>28750.57</v>
      </c>
      <c r="H265" s="27">
        <f t="shared" si="22"/>
        <v>18800</v>
      </c>
      <c r="I265" s="210">
        <f t="shared" si="21"/>
        <v>815443.17999999993</v>
      </c>
      <c r="J265" s="35"/>
      <c r="K265" s="35"/>
      <c r="L265" s="35"/>
      <c r="M265" s="35"/>
    </row>
    <row r="266" spans="2:16" s="1" customFormat="1" ht="14.25" x14ac:dyDescent="0.2">
      <c r="B266" s="57" t="s">
        <v>66</v>
      </c>
      <c r="C266" s="26">
        <v>1399.45</v>
      </c>
      <c r="D266" s="26">
        <v>1049.48</v>
      </c>
      <c r="E266" s="26">
        <v>0</v>
      </c>
      <c r="F266" s="26">
        <v>0</v>
      </c>
      <c r="G266" s="26">
        <v>28.35</v>
      </c>
      <c r="H266" s="26">
        <v>0</v>
      </c>
      <c r="I266" s="194">
        <f t="shared" si="21"/>
        <v>2477.2800000000002</v>
      </c>
      <c r="J266" s="35"/>
      <c r="K266" s="35"/>
      <c r="L266" s="35"/>
      <c r="M266" s="35"/>
    </row>
    <row r="267" spans="2:16" s="1" customFormat="1" ht="14.25" x14ac:dyDescent="0.2">
      <c r="B267" s="57" t="s">
        <v>56</v>
      </c>
      <c r="C267" s="26">
        <v>38046.629999999997</v>
      </c>
      <c r="D267" s="26">
        <v>37866.25</v>
      </c>
      <c r="E267" s="26">
        <v>12450</v>
      </c>
      <c r="F267" s="26">
        <v>14275</v>
      </c>
      <c r="G267" s="26">
        <v>10942.09</v>
      </c>
      <c r="H267" s="26">
        <v>0</v>
      </c>
      <c r="I267" s="194">
        <f t="shared" si="21"/>
        <v>113579.97</v>
      </c>
      <c r="J267" s="35"/>
      <c r="K267" s="35"/>
      <c r="L267" s="35"/>
      <c r="M267" s="35"/>
    </row>
    <row r="268" spans="2:16" s="1" customFormat="1" ht="14.25" x14ac:dyDescent="0.2">
      <c r="B268" s="57" t="s">
        <v>57</v>
      </c>
      <c r="C268" s="26">
        <v>25348.9</v>
      </c>
      <c r="D268" s="26">
        <v>108149.44</v>
      </c>
      <c r="E268" s="26">
        <v>211177.01</v>
      </c>
      <c r="F268" s="26">
        <v>87468.49</v>
      </c>
      <c r="G268" s="26">
        <v>10746.13</v>
      </c>
      <c r="H268" s="26">
        <v>18800</v>
      </c>
      <c r="I268" s="194">
        <f t="shared" si="21"/>
        <v>461689.97</v>
      </c>
      <c r="J268" s="35"/>
      <c r="K268" s="35"/>
      <c r="L268" s="35"/>
      <c r="M268" s="35"/>
    </row>
    <row r="269" spans="2:16" s="1" customFormat="1" ht="16.5" customHeight="1" x14ac:dyDescent="0.2">
      <c r="B269" s="57" t="s">
        <v>59</v>
      </c>
      <c r="C269" s="26">
        <v>2200</v>
      </c>
      <c r="D269" s="26">
        <v>39071.89</v>
      </c>
      <c r="E269" s="26">
        <v>4000</v>
      </c>
      <c r="F269" s="26">
        <v>6150</v>
      </c>
      <c r="G269" s="26">
        <v>0</v>
      </c>
      <c r="H269" s="26">
        <v>0</v>
      </c>
      <c r="I269" s="194">
        <f t="shared" si="21"/>
        <v>51421.89</v>
      </c>
      <c r="J269" s="35"/>
      <c r="K269" s="35"/>
      <c r="L269" s="35"/>
      <c r="M269" s="35"/>
    </row>
    <row r="270" spans="2:16" s="1" customFormat="1" ht="14.25" x14ac:dyDescent="0.2">
      <c r="B270" s="57" t="s">
        <v>141</v>
      </c>
      <c r="C270" s="26">
        <v>3104.36</v>
      </c>
      <c r="D270" s="26">
        <v>3000</v>
      </c>
      <c r="E270" s="26">
        <v>0</v>
      </c>
      <c r="F270" s="26">
        <v>0</v>
      </c>
      <c r="G270" s="26">
        <v>0</v>
      </c>
      <c r="H270" s="26">
        <v>0</v>
      </c>
      <c r="I270" s="194">
        <f t="shared" si="21"/>
        <v>6104.3600000000006</v>
      </c>
      <c r="J270" s="35"/>
      <c r="K270" s="35"/>
      <c r="L270" s="35"/>
      <c r="M270" s="35"/>
    </row>
    <row r="271" spans="2:16" s="1" customFormat="1" ht="14.25" x14ac:dyDescent="0.2">
      <c r="B271" s="57" t="s">
        <v>61</v>
      </c>
      <c r="C271" s="26">
        <v>21519.82</v>
      </c>
      <c r="D271" s="26">
        <v>74855.899999999994</v>
      </c>
      <c r="E271" s="26">
        <v>65961.990000000005</v>
      </c>
      <c r="F271" s="26">
        <v>10798</v>
      </c>
      <c r="G271" s="26">
        <v>7034</v>
      </c>
      <c r="H271" s="26">
        <v>0</v>
      </c>
      <c r="I271" s="194">
        <f t="shared" si="21"/>
        <v>180169.71000000002</v>
      </c>
      <c r="J271" s="35"/>
      <c r="K271" s="35"/>
      <c r="L271" s="35"/>
      <c r="M271" s="35"/>
    </row>
    <row r="272" spans="2:16" s="1" customFormat="1" ht="14.25" x14ac:dyDescent="0.2">
      <c r="B272" s="209" t="s">
        <v>62</v>
      </c>
      <c r="C272" s="27">
        <v>15045.15</v>
      </c>
      <c r="D272" s="27">
        <v>19580.75</v>
      </c>
      <c r="E272" s="27">
        <v>1440</v>
      </c>
      <c r="F272" s="27">
        <v>2631.58</v>
      </c>
      <c r="G272" s="27">
        <v>4317</v>
      </c>
      <c r="H272" s="27">
        <v>0</v>
      </c>
      <c r="I272" s="210">
        <f t="shared" si="21"/>
        <v>43014.48</v>
      </c>
      <c r="J272" s="35"/>
      <c r="K272" s="35"/>
      <c r="L272" s="35"/>
      <c r="M272" s="35"/>
    </row>
    <row r="273" spans="2:16" s="1" customFormat="1" ht="14.25" x14ac:dyDescent="0.2">
      <c r="B273" s="209" t="s">
        <v>547</v>
      </c>
      <c r="C273" s="27">
        <v>0</v>
      </c>
      <c r="D273" s="27">
        <v>0</v>
      </c>
      <c r="E273" s="27">
        <v>0</v>
      </c>
      <c r="F273" s="27">
        <v>4392</v>
      </c>
      <c r="G273" s="27">
        <v>0</v>
      </c>
      <c r="H273" s="27">
        <v>0</v>
      </c>
      <c r="I273" s="210">
        <f t="shared" si="21"/>
        <v>4392</v>
      </c>
      <c r="J273" s="35"/>
      <c r="K273" s="35"/>
      <c r="L273" s="35"/>
      <c r="M273" s="35"/>
    </row>
    <row r="274" spans="2:16" s="1" customFormat="1" ht="21.75" customHeight="1" x14ac:dyDescent="0.2">
      <c r="B274" s="211" t="s">
        <v>96</v>
      </c>
      <c r="C274" s="45">
        <f>C263+C264+C265+C272</f>
        <v>1005195.92</v>
      </c>
      <c r="D274" s="45">
        <f>D263+D264+D265+D272+D273</f>
        <v>1341592.0499999998</v>
      </c>
      <c r="E274" s="45">
        <f>E263+E264+E265+E272</f>
        <v>372176</v>
      </c>
      <c r="F274" s="45">
        <f>F263+F264+F265+F272+F273</f>
        <v>208692.06999999998</v>
      </c>
      <c r="G274" s="45">
        <f>G263+G264+G265+G272</f>
        <v>288838.57</v>
      </c>
      <c r="H274" s="45">
        <f>H263+H264+H265+H272</f>
        <v>18800</v>
      </c>
      <c r="I274" s="212">
        <f t="shared" si="21"/>
        <v>3235294.6099999994</v>
      </c>
      <c r="J274" s="35"/>
      <c r="K274" s="99"/>
      <c r="L274" s="35"/>
      <c r="M274" s="99"/>
    </row>
    <row r="275" spans="2:16" s="1" customFormat="1" ht="14.25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2:16" s="1" customFormat="1" ht="14.25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2:16" s="1" customFormat="1" ht="14.25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2:16" s="1" customFormat="1" ht="14.25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2:16" s="1" customFormat="1" ht="14.25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2:16" s="1" customFormat="1" ht="14.25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2:16" s="1" customFormat="1" ht="14.25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2:16" s="1" customFormat="1" ht="14.25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2:16" s="1" customFormat="1" ht="14.25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2:16" s="1" customFormat="1" ht="14.25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2:16" s="1" customFormat="1" ht="14.25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2:16" s="1" customFormat="1" ht="14.25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2:16" s="1" customFormat="1" ht="14.25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2:16" s="1" customFormat="1" ht="14.25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2:16" s="1" customFormat="1" ht="14.25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2:16" s="1" customFormat="1" ht="14.25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</row>
    <row r="291" spans="2:16" s="1" customFormat="1" ht="14.25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</row>
    <row r="292" spans="2:16" s="1" customFormat="1" ht="14.25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</row>
    <row r="293" spans="2:16" s="1" customFormat="1" ht="14.25" x14ac:dyDescent="0.2"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</row>
    <row r="294" spans="2:16" s="1" customFormat="1" ht="18" x14ac:dyDescent="0.25">
      <c r="B294" s="203" t="s">
        <v>146</v>
      </c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</row>
    <row r="296" spans="2:16" s="1" customFormat="1" ht="20.25" customHeight="1" x14ac:dyDescent="0.2">
      <c r="B296" s="572" t="s">
        <v>100</v>
      </c>
      <c r="C296" s="572"/>
      <c r="D296" s="572"/>
      <c r="E296" s="572"/>
      <c r="F296" s="204"/>
      <c r="G296" s="35"/>
      <c r="H296" s="99"/>
      <c r="I296" s="99"/>
      <c r="J296" s="99"/>
      <c r="K296" s="99"/>
      <c r="L296" s="35"/>
      <c r="M296" s="36"/>
      <c r="N296" s="36"/>
      <c r="O296" s="36"/>
      <c r="P296" s="35"/>
    </row>
    <row r="297" spans="2:16" s="1" customFormat="1" ht="14.25" x14ac:dyDescent="0.2">
      <c r="B297" s="562" t="s">
        <v>132</v>
      </c>
      <c r="C297" s="562"/>
      <c r="D297" s="562"/>
      <c r="E297" s="48">
        <f>E253+E225+E176+E153+E112+E82+E39+E10</f>
        <v>118557.56999999999</v>
      </c>
      <c r="F297" s="223"/>
      <c r="G297" s="99"/>
      <c r="H297" s="35"/>
      <c r="I297" s="99"/>
      <c r="J297" s="99"/>
      <c r="K297" s="99"/>
      <c r="L297" s="35"/>
      <c r="M297" s="36"/>
      <c r="N297" s="36"/>
      <c r="O297" s="36"/>
      <c r="P297" s="35"/>
    </row>
    <row r="298" spans="2:16" s="1" customFormat="1" ht="27" customHeight="1" x14ac:dyDescent="0.2">
      <c r="B298" s="562" t="s">
        <v>632</v>
      </c>
      <c r="C298" s="562"/>
      <c r="D298" s="562"/>
      <c r="E298" s="136">
        <f>E226+E177+E83</f>
        <v>900</v>
      </c>
      <c r="F298" s="223"/>
      <c r="G298" s="99"/>
      <c r="H298" s="35"/>
      <c r="I298" s="99"/>
      <c r="J298" s="99"/>
      <c r="K298" s="99"/>
      <c r="L298" s="35"/>
      <c r="M298" s="36"/>
      <c r="N298" s="36"/>
      <c r="O298" s="36"/>
      <c r="P298" s="35"/>
    </row>
    <row r="299" spans="2:16" s="1" customFormat="1" ht="14.25" x14ac:dyDescent="0.2">
      <c r="B299" s="562" t="s">
        <v>133</v>
      </c>
      <c r="C299" s="562"/>
      <c r="D299" s="562"/>
      <c r="E299" s="48">
        <f>E254+E227+E178+E113+E84+E40+E11</f>
        <v>356266.43</v>
      </c>
      <c r="F299" s="223"/>
      <c r="G299" s="99"/>
      <c r="H299" s="35"/>
      <c r="I299" s="99"/>
      <c r="J299" s="99"/>
      <c r="K299" s="99"/>
      <c r="L299" s="35"/>
      <c r="M299" s="36"/>
      <c r="N299" s="36"/>
      <c r="O299" s="36"/>
      <c r="P299" s="35"/>
    </row>
    <row r="300" spans="2:16" s="1" customFormat="1" ht="14.25" x14ac:dyDescent="0.2">
      <c r="B300" s="562" t="s">
        <v>134</v>
      </c>
      <c r="C300" s="562"/>
      <c r="D300" s="562"/>
      <c r="E300" s="48">
        <f>E255+E228+E179+E154+E114+E85+E41+E12</f>
        <v>251311.72</v>
      </c>
      <c r="F300" s="223"/>
      <c r="G300" s="99"/>
      <c r="H300" s="99"/>
      <c r="I300" s="99"/>
      <c r="J300" s="99"/>
      <c r="K300" s="99"/>
      <c r="L300" s="35"/>
      <c r="M300" s="36"/>
      <c r="N300" s="36"/>
      <c r="O300" s="36"/>
      <c r="P300" s="35"/>
    </row>
    <row r="301" spans="2:16" s="1" customFormat="1" ht="14.25" x14ac:dyDescent="0.2">
      <c r="B301" s="562" t="s">
        <v>104</v>
      </c>
      <c r="C301" s="562"/>
      <c r="D301" s="562"/>
      <c r="E301" s="48">
        <f>E256+E229+E180+E115+E86+E42+E13</f>
        <v>643780.21</v>
      </c>
      <c r="F301" s="223"/>
      <c r="G301" s="99"/>
      <c r="H301" s="99"/>
      <c r="I301" s="99"/>
      <c r="J301" s="99"/>
      <c r="K301" s="99"/>
      <c r="L301" s="35"/>
      <c r="M301" s="36"/>
      <c r="N301" s="36"/>
      <c r="O301" s="36"/>
      <c r="P301" s="35"/>
    </row>
    <row r="302" spans="2:16" s="1" customFormat="1" ht="14.25" x14ac:dyDescent="0.2">
      <c r="B302" s="589" t="s">
        <v>49</v>
      </c>
      <c r="C302" s="589"/>
      <c r="D302" s="589"/>
      <c r="E302" s="41">
        <f>E181+E257</f>
        <v>1754.7800000000002</v>
      </c>
      <c r="F302" s="224"/>
      <c r="G302" s="225"/>
      <c r="H302" s="35"/>
      <c r="I302" s="99"/>
      <c r="J302" s="99"/>
      <c r="K302" s="99"/>
      <c r="L302" s="35"/>
      <c r="M302" s="36"/>
      <c r="N302" s="36"/>
      <c r="O302" s="36"/>
      <c r="P302" s="35"/>
    </row>
    <row r="303" spans="2:16" s="1" customFormat="1" ht="14.25" x14ac:dyDescent="0.2">
      <c r="B303" s="589" t="s">
        <v>50</v>
      </c>
      <c r="C303" s="589"/>
      <c r="D303" s="589"/>
      <c r="E303" s="41">
        <f>E87</f>
        <v>9139.84</v>
      </c>
      <c r="F303" s="224"/>
      <c r="G303" s="225"/>
      <c r="H303" s="35"/>
      <c r="I303" s="99"/>
      <c r="J303" s="99"/>
      <c r="K303" s="99"/>
      <c r="L303" s="35"/>
      <c r="M303" s="36"/>
      <c r="N303" s="36"/>
      <c r="O303" s="36"/>
      <c r="P303" s="36"/>
    </row>
    <row r="304" spans="2:16" s="1" customFormat="1" ht="14.25" x14ac:dyDescent="0.2">
      <c r="B304" s="589" t="s">
        <v>135</v>
      </c>
      <c r="C304" s="589"/>
      <c r="D304" s="589"/>
      <c r="E304" s="41">
        <f>E258+E88</f>
        <v>4924</v>
      </c>
      <c r="F304" s="224"/>
      <c r="G304" s="225"/>
      <c r="H304" s="35"/>
      <c r="I304" s="99"/>
      <c r="J304" s="99"/>
      <c r="K304" s="99"/>
      <c r="L304" s="35"/>
      <c r="M304" s="36"/>
      <c r="N304" s="36"/>
      <c r="O304" s="36"/>
      <c r="P304" s="36"/>
    </row>
    <row r="305" spans="2:16" s="1" customFormat="1" ht="14.25" x14ac:dyDescent="0.2">
      <c r="B305" s="589" t="s">
        <v>136</v>
      </c>
      <c r="C305" s="589"/>
      <c r="D305" s="589"/>
      <c r="E305" s="41">
        <f>E43</f>
        <v>32588</v>
      </c>
      <c r="F305" s="224"/>
      <c r="G305" s="225"/>
      <c r="H305" s="35"/>
      <c r="I305" s="35"/>
      <c r="J305" s="35"/>
      <c r="K305" s="35"/>
      <c r="L305" s="35"/>
      <c r="M305" s="35"/>
      <c r="N305" s="35"/>
      <c r="O305" s="36"/>
      <c r="P305" s="35"/>
    </row>
    <row r="306" spans="2:16" s="1" customFormat="1" ht="21.75" customHeight="1" x14ac:dyDescent="0.2">
      <c r="B306" s="570" t="s">
        <v>96</v>
      </c>
      <c r="C306" s="570"/>
      <c r="D306" s="570"/>
      <c r="E306" s="220">
        <f>SUM(E297:E305)</f>
        <v>1419222.55</v>
      </c>
      <c r="F306" s="226"/>
      <c r="G306" s="225"/>
      <c r="H306" s="99"/>
      <c r="I306" s="99"/>
      <c r="J306" s="99"/>
      <c r="K306" s="99"/>
      <c r="L306" s="99"/>
      <c r="M306" s="99"/>
      <c r="N306" s="99"/>
      <c r="O306" s="99"/>
      <c r="P306" s="35"/>
    </row>
    <row r="307" spans="2:16" s="1" customFormat="1" ht="14.25" x14ac:dyDescent="0.2">
      <c r="B307" s="35"/>
      <c r="C307" s="35"/>
      <c r="D307" s="35"/>
      <c r="E307" s="35"/>
      <c r="F307" s="35"/>
      <c r="G307" s="225"/>
      <c r="H307" s="35"/>
      <c r="I307" s="35"/>
      <c r="J307" s="35"/>
      <c r="K307" s="35"/>
      <c r="L307" s="35"/>
      <c r="M307" s="35"/>
      <c r="N307" s="35"/>
      <c r="O307" s="35"/>
      <c r="P307" s="35"/>
    </row>
    <row r="308" spans="2:16" s="1" customFormat="1" ht="48" x14ac:dyDescent="0.2">
      <c r="B308" s="227" t="s">
        <v>52</v>
      </c>
      <c r="C308" s="228" t="s">
        <v>546</v>
      </c>
      <c r="D308" s="587" t="s">
        <v>542</v>
      </c>
      <c r="E308" s="587"/>
      <c r="F308" s="587" t="s">
        <v>543</v>
      </c>
      <c r="G308" s="587"/>
      <c r="H308" s="587"/>
      <c r="I308" s="228" t="s">
        <v>544</v>
      </c>
      <c r="J308" s="229" t="s">
        <v>545</v>
      </c>
      <c r="K308" s="230" t="s">
        <v>96</v>
      </c>
      <c r="L308" s="35"/>
      <c r="M308" s="35"/>
      <c r="N308" s="35"/>
      <c r="O308" s="35"/>
    </row>
    <row r="309" spans="2:16" s="1" customFormat="1" ht="14.25" x14ac:dyDescent="0.2">
      <c r="B309" s="231"/>
      <c r="C309" s="232" t="s">
        <v>304</v>
      </c>
      <c r="D309" s="232" t="s">
        <v>316</v>
      </c>
      <c r="E309" s="232" t="s">
        <v>318</v>
      </c>
      <c r="F309" s="232" t="s">
        <v>324</v>
      </c>
      <c r="G309" s="232" t="s">
        <v>325</v>
      </c>
      <c r="H309" s="232" t="s">
        <v>327</v>
      </c>
      <c r="I309" s="232" t="s">
        <v>320</v>
      </c>
      <c r="J309" s="232" t="s">
        <v>336</v>
      </c>
      <c r="K309" s="233"/>
      <c r="L309" s="35"/>
      <c r="M309" s="35"/>
      <c r="N309" s="35"/>
      <c r="O309" s="35"/>
    </row>
    <row r="310" spans="2:16" s="1" customFormat="1" ht="14.25" x14ac:dyDescent="0.2">
      <c r="B310" s="234" t="s">
        <v>53</v>
      </c>
      <c r="C310" s="235">
        <f>C159</f>
        <v>0</v>
      </c>
      <c r="D310" s="235">
        <f>C263+C234+C186+D159+C120+C93+C48+C18</f>
        <v>3177361.5300000003</v>
      </c>
      <c r="E310" s="235">
        <f>D263+D234+D186+E159+D120+D93+D48+D18</f>
        <v>5438537.7800000003</v>
      </c>
      <c r="F310" s="235">
        <v>0</v>
      </c>
      <c r="G310" s="235">
        <f>E263+E234+F186+E120+F93+E48+E18</f>
        <v>326745.53999999998</v>
      </c>
      <c r="H310" s="235">
        <f>F263+F234+G186+F159+F120+G93+F48+F18</f>
        <v>418640.57</v>
      </c>
      <c r="I310" s="235">
        <f>G263+G234+H186+G159+G120+H93+G48+G18</f>
        <v>1171580.21</v>
      </c>
      <c r="J310" s="235">
        <f>H159+H48+H18+H120+H263</f>
        <v>0</v>
      </c>
      <c r="K310" s="236">
        <f t="shared" ref="K310:K323" si="23">C310+D310+E310+G310+H310+I310+J310+F310</f>
        <v>10532865.629999999</v>
      </c>
      <c r="L310" s="35"/>
      <c r="M310" s="99"/>
      <c r="N310" s="35"/>
      <c r="O310" s="35"/>
    </row>
    <row r="311" spans="2:16" s="1" customFormat="1" ht="14.25" x14ac:dyDescent="0.2">
      <c r="B311" s="234" t="s">
        <v>54</v>
      </c>
      <c r="C311" s="235">
        <f>C160</f>
        <v>0</v>
      </c>
      <c r="D311" s="235">
        <f>C264+C235+C187+D160+C121+C94+C49+C19</f>
        <v>1150754.8500000001</v>
      </c>
      <c r="E311" s="235">
        <f>D264+D235+D187+E160+D121+D94+D49+D19</f>
        <v>1945937.45</v>
      </c>
      <c r="F311" s="235">
        <v>0</v>
      </c>
      <c r="G311" s="235">
        <f>E264+E235+F187+E121+F94+E49+E19</f>
        <v>119145.66</v>
      </c>
      <c r="H311" s="235">
        <f>F264+F235+G187+F160+F121+G94+F49+F19</f>
        <v>150901.77000000002</v>
      </c>
      <c r="I311" s="235">
        <f>G264+G235+H187+G160+G121+H94+G49+G19</f>
        <v>434340.92</v>
      </c>
      <c r="J311" s="235">
        <f>H160+H49+H19+H121+H264</f>
        <v>0</v>
      </c>
      <c r="K311" s="236">
        <f t="shared" si="23"/>
        <v>3801080.65</v>
      </c>
      <c r="L311" s="35"/>
      <c r="M311" s="99"/>
      <c r="N311" s="35"/>
      <c r="O311" s="35"/>
    </row>
    <row r="312" spans="2:16" s="1" customFormat="1" ht="14.25" x14ac:dyDescent="0.2">
      <c r="B312" s="234" t="s">
        <v>55</v>
      </c>
      <c r="C312" s="235">
        <f t="shared" ref="C312:J312" si="24">SUM(C313:C319)</f>
        <v>110000</v>
      </c>
      <c r="D312" s="235">
        <f t="shared" si="24"/>
        <v>626591.62</v>
      </c>
      <c r="E312" s="235">
        <f t="shared" si="24"/>
        <v>1742418.9700000002</v>
      </c>
      <c r="F312" s="235">
        <f t="shared" si="24"/>
        <v>61447.1</v>
      </c>
      <c r="G312" s="235">
        <f t="shared" si="24"/>
        <v>678553.45</v>
      </c>
      <c r="H312" s="235">
        <f t="shared" si="24"/>
        <v>1073111.4000000001</v>
      </c>
      <c r="I312" s="235">
        <f t="shared" si="24"/>
        <v>190132.74000000002</v>
      </c>
      <c r="J312" s="235">
        <f t="shared" si="24"/>
        <v>181767.50000000003</v>
      </c>
      <c r="K312" s="236">
        <f t="shared" si="23"/>
        <v>4664022.78</v>
      </c>
      <c r="L312" s="35"/>
      <c r="M312" s="99"/>
      <c r="N312" s="35"/>
      <c r="O312" s="35"/>
    </row>
    <row r="313" spans="2:16" s="1" customFormat="1" ht="14.25" x14ac:dyDescent="0.2">
      <c r="B313" s="237" t="s">
        <v>66</v>
      </c>
      <c r="C313" s="238">
        <v>0</v>
      </c>
      <c r="D313" s="238">
        <f>C266+C96+C51+C21+D162+C237</f>
        <v>2165.29</v>
      </c>
      <c r="E313" s="238">
        <f>D266+D96+D51+D21+D237+E162</f>
        <v>4029.74</v>
      </c>
      <c r="F313" s="238">
        <v>0</v>
      </c>
      <c r="G313" s="238">
        <f>E266+F96+E51+E21</f>
        <v>0</v>
      </c>
      <c r="H313" s="238">
        <f>F266+G96+F51+F21</f>
        <v>0</v>
      </c>
      <c r="I313" s="238">
        <f>G266+H96+G51+G21</f>
        <v>28.35</v>
      </c>
      <c r="J313" s="238">
        <f>H51+H21+H266</f>
        <v>0</v>
      </c>
      <c r="K313" s="239">
        <f t="shared" si="23"/>
        <v>6223.38</v>
      </c>
      <c r="L313" s="35"/>
      <c r="M313" s="35"/>
      <c r="N313" s="35"/>
      <c r="O313" s="35"/>
    </row>
    <row r="314" spans="2:16" s="1" customFormat="1" ht="14.25" x14ac:dyDescent="0.2">
      <c r="B314" s="237" t="s">
        <v>56</v>
      </c>
      <c r="C314" s="238">
        <f>C163</f>
        <v>0</v>
      </c>
      <c r="D314" s="238">
        <f>C267+C238+C189+D163+C123+C97+C52+C22</f>
        <v>235515.72</v>
      </c>
      <c r="E314" s="238">
        <f>D267+D238+D189+E163+D123+D97+D52+D22</f>
        <v>769156.16</v>
      </c>
      <c r="F314" s="238">
        <v>0</v>
      </c>
      <c r="G314" s="238">
        <f>E267+E238+F189+E123+F97+E52+E22</f>
        <v>85924.64</v>
      </c>
      <c r="H314" s="238">
        <f>F267+F238+G189+F163+F123+G97+F52+F22</f>
        <v>99249.68</v>
      </c>
      <c r="I314" s="238">
        <f>G267+G238+H189+G163+G123+H97+G52+G22</f>
        <v>86112.09</v>
      </c>
      <c r="J314" s="238">
        <f>H163+H52+H22+H123+H267</f>
        <v>0</v>
      </c>
      <c r="K314" s="239">
        <f t="shared" si="23"/>
        <v>1275958.29</v>
      </c>
      <c r="L314" s="35"/>
      <c r="M314" s="35"/>
      <c r="N314" s="35"/>
      <c r="O314" s="35"/>
    </row>
    <row r="315" spans="2:16" s="1" customFormat="1" ht="14.25" x14ac:dyDescent="0.2">
      <c r="B315" s="237" t="s">
        <v>57</v>
      </c>
      <c r="C315" s="238">
        <f>C164</f>
        <v>0</v>
      </c>
      <c r="D315" s="238">
        <f>C268+C239+C190+D164+C124+C98+C53+C23</f>
        <v>163234.35</v>
      </c>
      <c r="E315" s="238">
        <f>D268+D239+D190+E164+D124+D98+D53+D23</f>
        <v>379138.39999999997</v>
      </c>
      <c r="F315" s="238">
        <f>E190+E98</f>
        <v>55659.1</v>
      </c>
      <c r="G315" s="238">
        <f>E268+E239+F190+E124+F98+E53+E23</f>
        <v>465915.85</v>
      </c>
      <c r="H315" s="238">
        <f>F268+F239+G190+F164+F124+G98+F53+F23</f>
        <v>807516.63</v>
      </c>
      <c r="I315" s="238">
        <f>G268+G239+H190+G164+G124+H98+G53+G23</f>
        <v>46733.39</v>
      </c>
      <c r="J315" s="238">
        <f>H164+H53+H23+H124+I190+H268</f>
        <v>181767.50000000003</v>
      </c>
      <c r="K315" s="239">
        <f t="shared" si="23"/>
        <v>2099965.2199999997</v>
      </c>
      <c r="L315" s="35"/>
      <c r="M315" s="35"/>
      <c r="N315" s="35"/>
      <c r="O315" s="35"/>
    </row>
    <row r="316" spans="2:16" s="1" customFormat="1" ht="14.25" x14ac:dyDescent="0.2">
      <c r="B316" s="237" t="s">
        <v>58</v>
      </c>
      <c r="C316" s="238">
        <v>0</v>
      </c>
      <c r="D316" s="238">
        <f>C240+C125+C24+C99+C191</f>
        <v>1671.23</v>
      </c>
      <c r="E316" s="238">
        <f>D240+D125+D24+D99</f>
        <v>3407.8199999999997</v>
      </c>
      <c r="F316" s="238">
        <v>0</v>
      </c>
      <c r="G316" s="238">
        <f>E240+E125+E24+F99</f>
        <v>0</v>
      </c>
      <c r="H316" s="238">
        <f>F240+F125+F24+G99</f>
        <v>0</v>
      </c>
      <c r="I316" s="238">
        <f>G240+G125+G24+H99</f>
        <v>0</v>
      </c>
      <c r="J316" s="238">
        <f>H24+H125</f>
        <v>0</v>
      </c>
      <c r="K316" s="239">
        <f t="shared" si="23"/>
        <v>5079.0499999999993</v>
      </c>
      <c r="L316" s="35"/>
      <c r="M316" s="35"/>
      <c r="N316" s="35"/>
      <c r="O316" s="35"/>
    </row>
    <row r="317" spans="2:16" s="1" customFormat="1" ht="14.25" x14ac:dyDescent="0.2">
      <c r="B317" s="237" t="s">
        <v>59</v>
      </c>
      <c r="C317" s="238">
        <f>C165</f>
        <v>0</v>
      </c>
      <c r="D317" s="238">
        <f>C269+C242+C192+D165+C126+C100+C54+C25</f>
        <v>34052.519999999997</v>
      </c>
      <c r="E317" s="238">
        <f>D269+D242+D192+E165+D126+D100+D54+D25</f>
        <v>152168.19</v>
      </c>
      <c r="F317" s="238">
        <v>0</v>
      </c>
      <c r="G317" s="238">
        <f>E269+E242+F192+E126+F100+E54+E25</f>
        <v>27785</v>
      </c>
      <c r="H317" s="238">
        <f>F269+F242+G192+F165+F126+G100+F54+F25</f>
        <v>30644</v>
      </c>
      <c r="I317" s="238">
        <f>G269+G242+H192+G165+G126+H100+G54+G25</f>
        <v>16946</v>
      </c>
      <c r="J317" s="238">
        <f>H165+H54+H25+H126+H269</f>
        <v>0</v>
      </c>
      <c r="K317" s="239">
        <f t="shared" si="23"/>
        <v>261595.71</v>
      </c>
      <c r="L317" s="35"/>
      <c r="M317" s="35"/>
      <c r="N317" s="35"/>
      <c r="O317" s="35"/>
    </row>
    <row r="318" spans="2:16" s="1" customFormat="1" ht="14.25" x14ac:dyDescent="0.2">
      <c r="B318" s="237" t="s">
        <v>141</v>
      </c>
      <c r="C318" s="238">
        <f>C166</f>
        <v>110000</v>
      </c>
      <c r="D318" s="238">
        <f>C270+D166+C101+C55+C26</f>
        <v>6674.3600000000006</v>
      </c>
      <c r="E318" s="238">
        <f>D270+E166+D101+D55+D26+D241</f>
        <v>9858.52</v>
      </c>
      <c r="F318" s="238">
        <v>0</v>
      </c>
      <c r="G318" s="238">
        <f>E270+F101+E55+E26</f>
        <v>0</v>
      </c>
      <c r="H318" s="238">
        <f>F270+F166+G101+F55+F26</f>
        <v>0</v>
      </c>
      <c r="I318" s="238">
        <f>G270+G166+H101+G55+G26</f>
        <v>0</v>
      </c>
      <c r="J318" s="238">
        <f>H166+H55+H26+H270</f>
        <v>0</v>
      </c>
      <c r="K318" s="239">
        <f t="shared" si="23"/>
        <v>126532.88</v>
      </c>
      <c r="L318" s="35"/>
      <c r="M318" s="35"/>
      <c r="N318" s="35"/>
      <c r="O318" s="35"/>
    </row>
    <row r="319" spans="2:16" s="1" customFormat="1" ht="14.25" x14ac:dyDescent="0.2">
      <c r="B319" s="237" t="s">
        <v>61</v>
      </c>
      <c r="C319" s="238">
        <v>0</v>
      </c>
      <c r="D319" s="238">
        <f>C271+C243+C193+D167+C127+C102+C56+C27</f>
        <v>183278.15000000002</v>
      </c>
      <c r="E319" s="238">
        <f>D271+D243+D193+E167+D127+D102+D56+D27</f>
        <v>424660.14</v>
      </c>
      <c r="F319" s="238">
        <f>E193</f>
        <v>5788</v>
      </c>
      <c r="G319" s="238">
        <f>E271+E243+F193+E127+F102+E56+E27</f>
        <v>98927.96</v>
      </c>
      <c r="H319" s="238">
        <f>F271+F243+G193+F167+F127+G102+F56+F27</f>
        <v>135701.09</v>
      </c>
      <c r="I319" s="238">
        <f>G271+G243+H193+G167+G127+H102+G56+G27</f>
        <v>40312.910000000003</v>
      </c>
      <c r="J319" s="238">
        <f>H167+H56+H27+H127+H271</f>
        <v>0</v>
      </c>
      <c r="K319" s="239">
        <f t="shared" si="23"/>
        <v>888668.25</v>
      </c>
      <c r="L319" s="35"/>
      <c r="M319" s="35"/>
      <c r="N319" s="35"/>
      <c r="O319" s="35"/>
    </row>
    <row r="320" spans="2:16" s="1" customFormat="1" ht="14.25" x14ac:dyDescent="0.2">
      <c r="B320" s="234" t="s">
        <v>62</v>
      </c>
      <c r="C320" s="235">
        <v>0</v>
      </c>
      <c r="D320" s="235">
        <f>C272+C244+C194+D168+C128+C103+C57+C28</f>
        <v>38412.480000000003</v>
      </c>
      <c r="E320" s="235">
        <f>D272+D244+D194+E168+D128+D103+D57+D28</f>
        <v>88140.61</v>
      </c>
      <c r="F320" s="235">
        <v>0</v>
      </c>
      <c r="G320" s="235">
        <f>E272+E244+F194+E128+F103+E57+E28</f>
        <v>13144.42</v>
      </c>
      <c r="H320" s="235">
        <f>F272+F244+G194+F168+F128+G103+F57+F28</f>
        <v>17864.260000000002</v>
      </c>
      <c r="I320" s="235">
        <f>G272+G244+H194+G168+G128+H103+G57+G28</f>
        <v>18165.98</v>
      </c>
      <c r="J320" s="235">
        <f>H168+H57+H28+H128+H272</f>
        <v>149.4</v>
      </c>
      <c r="K320" s="236">
        <f t="shared" si="23"/>
        <v>175877.15000000002</v>
      </c>
      <c r="L320" s="35"/>
      <c r="M320" s="35"/>
      <c r="N320" s="35"/>
      <c r="O320" s="35"/>
    </row>
    <row r="321" spans="2:16" s="76" customFormat="1" ht="19.5" customHeight="1" x14ac:dyDescent="0.25">
      <c r="B321" s="234" t="s">
        <v>549</v>
      </c>
      <c r="C321" s="240">
        <v>0</v>
      </c>
      <c r="D321" s="240">
        <f>C129+C59</f>
        <v>0</v>
      </c>
      <c r="E321" s="240">
        <f>D129+D59+D273+D104</f>
        <v>6781.16</v>
      </c>
      <c r="F321" s="240">
        <v>0</v>
      </c>
      <c r="G321" s="240">
        <f>E129+E59+F104</f>
        <v>0</v>
      </c>
      <c r="H321" s="240">
        <f>F129+F59+G195+F273+G104</f>
        <v>120622.39999999999</v>
      </c>
      <c r="I321" s="240">
        <f>G129+G59</f>
        <v>0</v>
      </c>
      <c r="J321" s="240">
        <f>H59</f>
        <v>0</v>
      </c>
      <c r="K321" s="241">
        <f t="shared" si="23"/>
        <v>127403.56</v>
      </c>
    </row>
    <row r="322" spans="2:16" s="76" customFormat="1" ht="27" customHeight="1" x14ac:dyDescent="0.25">
      <c r="B322" s="234" t="s">
        <v>607</v>
      </c>
      <c r="C322" s="240">
        <v>0</v>
      </c>
      <c r="D322" s="240">
        <v>0</v>
      </c>
      <c r="E322" s="240">
        <f>D105</f>
        <v>5992.18</v>
      </c>
      <c r="F322" s="240">
        <v>0</v>
      </c>
      <c r="G322" s="240">
        <v>0</v>
      </c>
      <c r="H322" s="240">
        <v>0</v>
      </c>
      <c r="I322" s="240">
        <v>0</v>
      </c>
      <c r="J322" s="240">
        <v>0</v>
      </c>
      <c r="K322" s="241">
        <f t="shared" si="23"/>
        <v>5992.18</v>
      </c>
    </row>
    <row r="323" spans="2:16" s="8" customFormat="1" ht="14.25" x14ac:dyDescent="0.25">
      <c r="B323" s="234" t="s">
        <v>490</v>
      </c>
      <c r="C323" s="240">
        <v>0</v>
      </c>
      <c r="D323" s="240">
        <v>0</v>
      </c>
      <c r="E323" s="240">
        <f>D58+D29+D245</f>
        <v>160421.35</v>
      </c>
      <c r="F323" s="240">
        <f>E58</f>
        <v>0</v>
      </c>
      <c r="G323" s="240">
        <v>0</v>
      </c>
      <c r="H323" s="240">
        <f>F58</f>
        <v>0</v>
      </c>
      <c r="I323" s="240">
        <f>H58</f>
        <v>0</v>
      </c>
      <c r="J323" s="240">
        <v>0</v>
      </c>
      <c r="K323" s="241">
        <f t="shared" si="23"/>
        <v>160421.35</v>
      </c>
      <c r="L323" s="76"/>
      <c r="M323" s="80"/>
      <c r="N323" s="76"/>
      <c r="O323" s="76"/>
    </row>
    <row r="324" spans="2:16" s="1" customFormat="1" ht="21" customHeight="1" x14ac:dyDescent="0.2">
      <c r="B324" s="242" t="s">
        <v>96</v>
      </c>
      <c r="C324" s="243">
        <f t="shared" ref="C324:D324" si="25">C310+C311+C312+C320+C323+C321+C322</f>
        <v>110000</v>
      </c>
      <c r="D324" s="243">
        <f t="shared" si="25"/>
        <v>4993120.4800000014</v>
      </c>
      <c r="E324" s="243">
        <f>E310+E311+E312+E320+E323+E321+E322</f>
        <v>9388229.5</v>
      </c>
      <c r="F324" s="243">
        <f t="shared" ref="F324:J324" si="26">F310+F311+F312+F320+F323+F321+F322</f>
        <v>61447.1</v>
      </c>
      <c r="G324" s="243">
        <f t="shared" si="26"/>
        <v>1137589.0699999998</v>
      </c>
      <c r="H324" s="243">
        <f t="shared" si="26"/>
        <v>1781140.4000000001</v>
      </c>
      <c r="I324" s="243">
        <f t="shared" si="26"/>
        <v>1814219.8499999999</v>
      </c>
      <c r="J324" s="243">
        <f t="shared" si="26"/>
        <v>181916.90000000002</v>
      </c>
      <c r="K324" s="244">
        <f>C324+D324+E324+G324+H324+I324+J324+F324</f>
        <v>19467663.300000001</v>
      </c>
      <c r="L324" s="99"/>
      <c r="M324" s="99"/>
      <c r="N324" s="99"/>
      <c r="O324" s="35"/>
    </row>
    <row r="325" spans="2:16" s="1" customFormat="1" ht="14.25" x14ac:dyDescent="0.2">
      <c r="B325" s="35"/>
      <c r="C325" s="99"/>
      <c r="D325" s="99"/>
      <c r="E325" s="35"/>
      <c r="F325" s="35"/>
      <c r="G325" s="35"/>
      <c r="H325" s="99"/>
      <c r="I325" s="99"/>
      <c r="J325" s="99"/>
      <c r="K325" s="99"/>
      <c r="L325" s="35"/>
      <c r="M325" s="99"/>
      <c r="N325" s="35"/>
      <c r="O325" s="35"/>
      <c r="P325" s="35"/>
    </row>
    <row r="326" spans="2:16" s="1" customFormat="1" ht="14.25" x14ac:dyDescent="0.2">
      <c r="B326" s="35"/>
      <c r="C326" s="99"/>
      <c r="D326" s="99"/>
      <c r="E326" s="99"/>
      <c r="F326" s="99"/>
      <c r="G326" s="99"/>
      <c r="H326" s="99"/>
      <c r="I326" s="99"/>
      <c r="J326" s="99"/>
      <c r="K326" s="99"/>
      <c r="L326" s="35"/>
      <c r="M326" s="35"/>
      <c r="N326" s="35"/>
      <c r="O326" s="35"/>
      <c r="P326" s="35"/>
    </row>
    <row r="327" spans="2:16" s="1" customFormat="1" ht="14.25" x14ac:dyDescent="0.2">
      <c r="B327" s="35"/>
      <c r="C327" s="35"/>
      <c r="D327" s="99"/>
      <c r="E327" s="99"/>
      <c r="F327" s="35"/>
      <c r="G327" s="35"/>
      <c r="H327" s="99"/>
      <c r="I327" s="35"/>
      <c r="J327" s="35"/>
      <c r="K327" s="99"/>
      <c r="L327" s="35"/>
      <c r="M327" s="35"/>
      <c r="N327" s="35"/>
      <c r="O327" s="35"/>
      <c r="P327" s="35"/>
    </row>
    <row r="328" spans="2:16" s="1" customFormat="1" ht="14.25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</row>
    <row r="329" spans="2:16" s="1" customFormat="1" ht="14.25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</row>
    <row r="330" spans="2:16" s="1" customFormat="1" ht="14.25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</row>
    <row r="331" spans="2:16" s="1" customFormat="1" ht="14.25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</row>
    <row r="332" spans="2:16" s="1" customFormat="1" ht="14.25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</row>
    <row r="333" spans="2:16" s="1" customFormat="1" ht="14.25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</row>
    <row r="334" spans="2:16" s="1" customFormat="1" ht="14.25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</row>
    <row r="335" spans="2:16" s="1" customFormat="1" ht="14.25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</row>
    <row r="336" spans="2:16" s="1" customFormat="1" ht="14.25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</row>
    <row r="337" spans="2:16" s="1" customFormat="1" ht="14.25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</row>
    <row r="338" spans="2:16" s="1" customFormat="1" ht="14.25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</row>
    <row r="339" spans="2:16" s="1" customFormat="1" ht="14.25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</row>
    <row r="340" spans="2:16" s="1" customFormat="1" ht="14.25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</row>
    <row r="341" spans="2:16" s="1" customFormat="1" ht="14.25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</row>
    <row r="342" spans="2:16" s="1" customFormat="1" ht="14.25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</row>
    <row r="343" spans="2:16" s="1" customFormat="1" ht="14.25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</row>
    <row r="344" spans="2:16" s="1" customFormat="1" ht="14.25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</row>
    <row r="345" spans="2:16" s="1" customFormat="1" ht="14.25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</row>
    <row r="346" spans="2:16" s="1" customFormat="1" ht="14.25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</row>
    <row r="347" spans="2:16" s="1" customFormat="1" ht="14.25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</row>
    <row r="348" spans="2:16" s="1" customFormat="1" ht="14.25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</row>
    <row r="349" spans="2:16" s="1" customFormat="1" ht="14.25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</row>
    <row r="350" spans="2:16" s="1" customFormat="1" ht="14.25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</row>
    <row r="351" spans="2:16" s="1" customFormat="1" ht="14.25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</row>
    <row r="352" spans="2:16" s="1" customFormat="1" ht="14.25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</row>
    <row r="353" spans="2:16" s="1" customFormat="1" ht="14.25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</row>
    <row r="354" spans="2:16" s="1" customFormat="1" ht="14.25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</row>
    <row r="355" spans="2:16" s="1" customFormat="1" ht="14.25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</row>
    <row r="356" spans="2:16" s="1" customFormat="1" ht="14.25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</row>
    <row r="357" spans="2:16" s="1" customFormat="1" ht="14.25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</row>
    <row r="358" spans="2:16" s="1" customFormat="1" ht="14.25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</row>
    <row r="359" spans="2:16" s="1" customFormat="1" ht="14.25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</row>
    <row r="360" spans="2:16" s="1" customFormat="1" ht="14.25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</row>
    <row r="361" spans="2:16" s="1" customFormat="1" ht="14.25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</row>
    <row r="362" spans="2:16" s="1" customFormat="1" ht="14.25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</row>
    <row r="363" spans="2:16" s="1" customFormat="1" ht="14.25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</row>
    <row r="364" spans="2:16" s="1" customFormat="1" ht="14.25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</row>
    <row r="365" spans="2:16" s="1" customFormat="1" ht="14.25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</row>
    <row r="366" spans="2:16" s="1" customFormat="1" ht="18" x14ac:dyDescent="0.25">
      <c r="B366" s="203" t="s">
        <v>457</v>
      </c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</row>
    <row r="368" spans="2:16" s="1" customFormat="1" ht="21.75" customHeight="1" x14ac:dyDescent="0.2">
      <c r="B368" s="572" t="s">
        <v>100</v>
      </c>
      <c r="C368" s="572"/>
      <c r="D368" s="572"/>
      <c r="E368" s="572"/>
      <c r="F368" s="204"/>
      <c r="G368" s="35"/>
      <c r="H368" s="35"/>
      <c r="I368" s="35"/>
      <c r="J368" s="35"/>
      <c r="K368" s="35"/>
      <c r="L368" s="35"/>
      <c r="M368" s="35"/>
      <c r="N368" s="35"/>
      <c r="O368" s="35"/>
      <c r="P368" s="35"/>
    </row>
    <row r="369" spans="2:16" s="1" customFormat="1" ht="14.25" x14ac:dyDescent="0.2">
      <c r="B369" s="567" t="s">
        <v>148</v>
      </c>
      <c r="C369" s="567"/>
      <c r="D369" s="567"/>
      <c r="E369" s="26">
        <v>17416</v>
      </c>
      <c r="F369" s="58"/>
      <c r="G369" s="35"/>
      <c r="H369" s="35"/>
      <c r="I369" s="35"/>
      <c r="J369" s="35"/>
      <c r="K369" s="35"/>
      <c r="L369" s="35"/>
      <c r="M369" s="35"/>
      <c r="N369" s="35"/>
      <c r="O369" s="35"/>
      <c r="P369" s="35"/>
    </row>
    <row r="370" spans="2:16" s="1" customFormat="1" ht="14.25" x14ac:dyDescent="0.2">
      <c r="B370" s="567" t="s">
        <v>135</v>
      </c>
      <c r="C370" s="567"/>
      <c r="D370" s="567"/>
      <c r="E370" s="26">
        <v>450</v>
      </c>
      <c r="F370" s="58"/>
      <c r="G370" s="35"/>
      <c r="H370" s="35"/>
      <c r="I370" s="35"/>
      <c r="J370" s="35"/>
      <c r="K370" s="35"/>
      <c r="L370" s="35"/>
      <c r="M370" s="35"/>
      <c r="N370" s="35"/>
      <c r="O370" s="35"/>
      <c r="P370" s="35"/>
    </row>
    <row r="371" spans="2:16" s="1" customFormat="1" ht="14.25" x14ac:dyDescent="0.2">
      <c r="B371" s="589" t="s">
        <v>136</v>
      </c>
      <c r="C371" s="589"/>
      <c r="D371" s="589"/>
      <c r="E371" s="41">
        <v>7100</v>
      </c>
      <c r="F371" s="205"/>
      <c r="G371" s="196"/>
      <c r="H371" s="196"/>
      <c r="I371" s="35"/>
      <c r="J371" s="35"/>
      <c r="K371" s="35"/>
      <c r="L371" s="35"/>
      <c r="M371" s="35"/>
      <c r="N371" s="35"/>
      <c r="O371" s="35"/>
      <c r="P371" s="35"/>
    </row>
    <row r="372" spans="2:16" s="196" customFormat="1" ht="21.75" customHeight="1" x14ac:dyDescent="0.2">
      <c r="B372" s="570" t="s">
        <v>96</v>
      </c>
      <c r="C372" s="570"/>
      <c r="D372" s="570"/>
      <c r="E372" s="45">
        <f>SUM(E369:E371)</f>
        <v>24966</v>
      </c>
      <c r="F372" s="245"/>
      <c r="G372" s="35"/>
      <c r="H372" s="35"/>
    </row>
    <row r="373" spans="2:16" ht="23.25" customHeight="1" x14ac:dyDescent="0.2"/>
    <row r="374" spans="2:16" s="1" customFormat="1" ht="38.25" x14ac:dyDescent="0.2">
      <c r="B374" s="52" t="s">
        <v>52</v>
      </c>
      <c r="C374" s="37" t="s">
        <v>544</v>
      </c>
      <c r="D374" s="246"/>
      <c r="E374" s="247"/>
      <c r="F374" s="247"/>
      <c r="G374" s="247"/>
      <c r="H374" s="69"/>
      <c r="I374" s="35"/>
      <c r="J374" s="35"/>
      <c r="K374" s="35"/>
      <c r="L374" s="35"/>
      <c r="M374" s="35"/>
      <c r="N374" s="35"/>
      <c r="O374" s="35"/>
      <c r="P374" s="35"/>
    </row>
    <row r="375" spans="2:16" s="1" customFormat="1" ht="14.25" x14ac:dyDescent="0.2">
      <c r="B375" s="207"/>
      <c r="C375" s="102" t="s">
        <v>320</v>
      </c>
      <c r="D375" s="246"/>
      <c r="E375" s="247"/>
      <c r="F375" s="247"/>
      <c r="G375" s="247"/>
      <c r="H375" s="69"/>
      <c r="I375" s="35"/>
      <c r="J375" s="35"/>
      <c r="K375" s="35"/>
      <c r="L375" s="35"/>
      <c r="M375" s="35"/>
      <c r="N375" s="35"/>
      <c r="O375" s="35"/>
      <c r="P375" s="35"/>
    </row>
    <row r="376" spans="2:16" s="1" customFormat="1" ht="14.25" x14ac:dyDescent="0.2">
      <c r="B376" s="209" t="s">
        <v>53</v>
      </c>
      <c r="C376" s="27">
        <v>129813.54</v>
      </c>
      <c r="D376" s="99"/>
      <c r="E376" s="99"/>
      <c r="F376" s="99"/>
      <c r="G376" s="99"/>
      <c r="H376" s="35"/>
      <c r="I376" s="35"/>
      <c r="J376" s="35"/>
      <c r="K376" s="35"/>
      <c r="L376" s="35"/>
      <c r="M376" s="35"/>
      <c r="N376" s="35"/>
      <c r="O376" s="35"/>
      <c r="P376" s="35"/>
    </row>
    <row r="377" spans="2:16" s="69" customFormat="1" x14ac:dyDescent="0.2">
      <c r="B377" s="209" t="s">
        <v>54</v>
      </c>
      <c r="C377" s="27">
        <v>46805.14</v>
      </c>
      <c r="D377" s="99"/>
      <c r="E377" s="99"/>
      <c r="F377" s="99"/>
      <c r="G377" s="99"/>
      <c r="H377" s="35"/>
    </row>
    <row r="378" spans="2:16" s="1" customFormat="1" ht="14.25" x14ac:dyDescent="0.2">
      <c r="B378" s="209" t="s">
        <v>55</v>
      </c>
      <c r="C378" s="27">
        <f>SUM(C379:C385)</f>
        <v>69105.540000000008</v>
      </c>
      <c r="D378" s="99"/>
      <c r="E378" s="99"/>
      <c r="F378" s="99"/>
      <c r="G378" s="99"/>
      <c r="H378" s="35"/>
      <c r="I378" s="35"/>
      <c r="J378" s="35"/>
      <c r="K378" s="35"/>
      <c r="L378" s="35"/>
      <c r="M378" s="35"/>
      <c r="N378" s="35"/>
      <c r="O378" s="35"/>
      <c r="P378" s="35"/>
    </row>
    <row r="379" spans="2:16" s="1" customFormat="1" ht="14.25" x14ac:dyDescent="0.2">
      <c r="B379" s="57" t="s">
        <v>66</v>
      </c>
      <c r="C379" s="26">
        <v>137.06</v>
      </c>
      <c r="D379" s="99"/>
      <c r="E379" s="99"/>
      <c r="F379" s="99"/>
      <c r="G379" s="99"/>
      <c r="H379" s="35"/>
      <c r="I379" s="35"/>
      <c r="J379" s="35"/>
      <c r="K379" s="35"/>
      <c r="L379" s="35"/>
      <c r="M379" s="35"/>
      <c r="N379" s="35"/>
      <c r="O379" s="35"/>
      <c r="P379" s="35"/>
    </row>
    <row r="380" spans="2:16" s="1" customFormat="1" ht="14.25" x14ac:dyDescent="0.2">
      <c r="B380" s="57" t="s">
        <v>56</v>
      </c>
      <c r="C380" s="26">
        <v>8096.39</v>
      </c>
      <c r="D380" s="99"/>
      <c r="E380" s="99"/>
      <c r="F380" s="99"/>
      <c r="G380" s="99"/>
      <c r="H380" s="35"/>
      <c r="I380" s="35"/>
      <c r="J380" s="35"/>
      <c r="K380" s="35"/>
      <c r="L380" s="35"/>
      <c r="M380" s="35"/>
      <c r="N380" s="35"/>
      <c r="O380" s="35"/>
      <c r="P380" s="35"/>
    </row>
    <row r="381" spans="2:16" s="1" customFormat="1" ht="14.25" x14ac:dyDescent="0.2">
      <c r="B381" s="57" t="s">
        <v>57</v>
      </c>
      <c r="C381" s="26">
        <v>15178.17</v>
      </c>
      <c r="D381" s="99"/>
      <c r="E381" s="99"/>
      <c r="F381" s="99"/>
      <c r="G381" s="99"/>
      <c r="H381" s="35"/>
      <c r="I381" s="35"/>
      <c r="J381" s="35"/>
      <c r="K381" s="35"/>
      <c r="L381" s="35"/>
      <c r="M381" s="35"/>
      <c r="N381" s="35"/>
      <c r="O381" s="35"/>
      <c r="P381" s="35"/>
    </row>
    <row r="382" spans="2:16" s="1" customFormat="1" ht="14.25" x14ac:dyDescent="0.2">
      <c r="B382" s="57" t="s">
        <v>58</v>
      </c>
      <c r="C382" s="26">
        <v>51</v>
      </c>
      <c r="D382" s="99"/>
      <c r="E382" s="99"/>
      <c r="F382" s="99"/>
      <c r="G382" s="99"/>
      <c r="H382" s="35"/>
      <c r="I382" s="35"/>
      <c r="J382" s="35"/>
      <c r="K382" s="35"/>
      <c r="L382" s="35"/>
      <c r="M382" s="35"/>
      <c r="N382" s="35"/>
      <c r="O382" s="35"/>
      <c r="P382" s="35"/>
    </row>
    <row r="383" spans="2:16" s="1" customFormat="1" ht="15.75" customHeight="1" x14ac:dyDescent="0.2">
      <c r="B383" s="57" t="s">
        <v>59</v>
      </c>
      <c r="C383" s="26">
        <v>4552.87</v>
      </c>
      <c r="D383" s="99"/>
      <c r="E383" s="99"/>
      <c r="F383" s="99"/>
      <c r="G383" s="99"/>
      <c r="H383" s="35"/>
      <c r="I383" s="35"/>
      <c r="J383" s="35"/>
      <c r="K383" s="35"/>
      <c r="L383" s="35"/>
      <c r="M383" s="35"/>
      <c r="N383" s="35"/>
      <c r="O383" s="35"/>
      <c r="P383" s="35"/>
    </row>
    <row r="384" spans="2:16" s="1" customFormat="1" ht="14.25" x14ac:dyDescent="0.2">
      <c r="B384" s="57" t="s">
        <v>60</v>
      </c>
      <c r="C384" s="26">
        <v>1339.98</v>
      </c>
      <c r="D384" s="99"/>
      <c r="E384" s="99"/>
      <c r="F384" s="99"/>
      <c r="G384" s="99"/>
      <c r="H384" s="35"/>
      <c r="I384" s="35"/>
      <c r="J384" s="35"/>
      <c r="K384" s="35"/>
      <c r="L384" s="35"/>
      <c r="M384" s="35"/>
      <c r="N384" s="35"/>
      <c r="O384" s="35"/>
      <c r="P384" s="35"/>
    </row>
    <row r="385" spans="2:16" s="1" customFormat="1" ht="14.25" x14ac:dyDescent="0.2">
      <c r="B385" s="57" t="s">
        <v>61</v>
      </c>
      <c r="C385" s="26">
        <v>39750.07</v>
      </c>
      <c r="D385" s="99"/>
      <c r="E385" s="99"/>
      <c r="F385" s="99"/>
      <c r="G385" s="99"/>
      <c r="H385" s="35"/>
      <c r="I385" s="35"/>
      <c r="J385" s="35"/>
      <c r="K385" s="35"/>
      <c r="L385" s="35"/>
      <c r="M385" s="35"/>
      <c r="N385" s="35"/>
      <c r="O385" s="35"/>
      <c r="P385" s="35"/>
    </row>
    <row r="386" spans="2:16" s="1" customFormat="1" ht="14.25" x14ac:dyDescent="0.2">
      <c r="B386" s="209" t="s">
        <v>62</v>
      </c>
      <c r="C386" s="27">
        <v>1038.8699999999999</v>
      </c>
      <c r="D386" s="99"/>
      <c r="E386" s="99"/>
      <c r="F386" s="99"/>
      <c r="G386" s="99"/>
      <c r="H386" s="35"/>
      <c r="I386" s="35"/>
      <c r="J386" s="35"/>
      <c r="K386" s="35"/>
      <c r="L386" s="35"/>
      <c r="M386" s="35"/>
      <c r="N386" s="35"/>
      <c r="O386" s="35"/>
      <c r="P386" s="35"/>
    </row>
    <row r="387" spans="2:16" s="1" customFormat="1" ht="19.5" customHeight="1" x14ac:dyDescent="0.2">
      <c r="B387" s="211" t="s">
        <v>96</v>
      </c>
      <c r="C387" s="45">
        <f>C376+C377+C378+C386</f>
        <v>246763.09</v>
      </c>
      <c r="D387" s="7"/>
      <c r="E387" s="7"/>
      <c r="F387" s="7"/>
      <c r="G387" s="7"/>
      <c r="H387" s="36"/>
      <c r="I387" s="35"/>
      <c r="J387" s="35"/>
      <c r="K387" s="35"/>
      <c r="L387" s="35"/>
      <c r="M387" s="35"/>
      <c r="N387" s="35"/>
      <c r="O387" s="35"/>
      <c r="P387" s="35"/>
    </row>
    <row r="388" spans="2:16" s="1" customFormat="1" ht="14.25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</row>
    <row r="389" spans="2:16" s="1" customFormat="1" ht="14.25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</row>
    <row r="390" spans="2:16" s="1" customFormat="1" ht="18" x14ac:dyDescent="0.25">
      <c r="B390" s="203" t="s">
        <v>147</v>
      </c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</row>
    <row r="392" spans="2:16" s="1" customFormat="1" ht="18" customHeight="1" x14ac:dyDescent="0.2">
      <c r="B392" s="572" t="s">
        <v>100</v>
      </c>
      <c r="C392" s="572"/>
      <c r="D392" s="572"/>
      <c r="E392" s="572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</row>
    <row r="393" spans="2:16" s="1" customFormat="1" ht="15" customHeight="1" x14ac:dyDescent="0.2">
      <c r="B393" s="562" t="s">
        <v>149</v>
      </c>
      <c r="C393" s="562"/>
      <c r="D393" s="562"/>
      <c r="E393" s="26">
        <v>110349</v>
      </c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</row>
    <row r="394" spans="2:16" s="1" customFormat="1" ht="15" customHeight="1" x14ac:dyDescent="0.2">
      <c r="B394" s="589" t="s">
        <v>49</v>
      </c>
      <c r="C394" s="589"/>
      <c r="D394" s="589"/>
      <c r="E394" s="26">
        <v>10.01</v>
      </c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</row>
    <row r="395" spans="2:16" s="1" customFormat="1" ht="14.25" x14ac:dyDescent="0.2">
      <c r="B395" s="562" t="s">
        <v>132</v>
      </c>
      <c r="C395" s="562"/>
      <c r="D395" s="562"/>
      <c r="E395" s="41">
        <v>17.8</v>
      </c>
      <c r="F395" s="196"/>
      <c r="G395" s="196"/>
      <c r="H395" s="196"/>
      <c r="I395" s="35"/>
      <c r="J395" s="35"/>
      <c r="K395" s="35"/>
      <c r="L395" s="35"/>
      <c r="M395" s="35"/>
      <c r="N395" s="35"/>
      <c r="O395" s="35"/>
      <c r="P395" s="35"/>
    </row>
    <row r="396" spans="2:16" s="1" customFormat="1" ht="14.25" x14ac:dyDescent="0.2">
      <c r="B396" s="562" t="s">
        <v>50</v>
      </c>
      <c r="C396" s="562"/>
      <c r="D396" s="562"/>
      <c r="E396" s="41">
        <v>92.28</v>
      </c>
      <c r="F396" s="196"/>
      <c r="G396" s="196"/>
      <c r="H396" s="196"/>
      <c r="I396" s="35"/>
      <c r="J396" s="35"/>
      <c r="K396" s="35"/>
      <c r="L396" s="35"/>
      <c r="M396" s="35"/>
      <c r="N396" s="35"/>
      <c r="O396" s="35"/>
      <c r="P396" s="35"/>
    </row>
    <row r="397" spans="2:16" s="1" customFormat="1" ht="14.25" x14ac:dyDescent="0.2">
      <c r="B397" s="562" t="s">
        <v>491</v>
      </c>
      <c r="C397" s="562"/>
      <c r="D397" s="562"/>
      <c r="E397" s="41">
        <v>13307</v>
      </c>
      <c r="F397" s="196"/>
      <c r="G397" s="196"/>
      <c r="H397" s="196"/>
      <c r="I397" s="35"/>
      <c r="J397" s="35"/>
      <c r="K397" s="35"/>
      <c r="L397" s="35"/>
      <c r="M397" s="35"/>
      <c r="N397" s="35"/>
      <c r="O397" s="35"/>
      <c r="P397" s="35"/>
    </row>
    <row r="398" spans="2:16" s="196" customFormat="1" x14ac:dyDescent="0.2">
      <c r="B398" s="590" t="s">
        <v>96</v>
      </c>
      <c r="C398" s="590"/>
      <c r="D398" s="590"/>
      <c r="E398" s="248">
        <f>SUM(E393:E397)</f>
        <v>123776.09</v>
      </c>
      <c r="F398" s="35"/>
      <c r="G398" s="35"/>
      <c r="H398" s="35"/>
    </row>
    <row r="400" spans="2:16" s="1" customFormat="1" ht="38.25" x14ac:dyDescent="0.2">
      <c r="B400" s="52" t="s">
        <v>52</v>
      </c>
      <c r="C400" s="37" t="s">
        <v>544</v>
      </c>
      <c r="D400" s="246"/>
      <c r="E400" s="247"/>
      <c r="F400" s="247"/>
      <c r="G400" s="247"/>
      <c r="H400" s="69"/>
      <c r="I400" s="35"/>
      <c r="J400" s="35"/>
      <c r="K400" s="35"/>
      <c r="L400" s="35"/>
      <c r="M400" s="35"/>
      <c r="N400" s="35"/>
      <c r="O400" s="35"/>
      <c r="P400" s="35"/>
    </row>
    <row r="401" spans="2:16" s="1" customFormat="1" ht="14.25" x14ac:dyDescent="0.2">
      <c r="B401" s="207"/>
      <c r="C401" s="102" t="s">
        <v>320</v>
      </c>
      <c r="D401" s="246"/>
      <c r="E401" s="247"/>
      <c r="F401" s="247"/>
      <c r="G401" s="247"/>
      <c r="H401" s="69"/>
      <c r="I401" s="35"/>
      <c r="J401" s="35"/>
      <c r="K401" s="35"/>
      <c r="L401" s="35"/>
      <c r="M401" s="35"/>
      <c r="N401" s="35"/>
      <c r="O401" s="35"/>
      <c r="P401" s="35"/>
    </row>
    <row r="402" spans="2:16" s="1" customFormat="1" ht="14.25" x14ac:dyDescent="0.2">
      <c r="B402" s="209" t="s">
        <v>53</v>
      </c>
      <c r="C402" s="27">
        <v>868549.91</v>
      </c>
      <c r="D402" s="99"/>
      <c r="E402" s="99"/>
      <c r="F402" s="99"/>
      <c r="G402" s="99"/>
      <c r="H402" s="35"/>
      <c r="I402" s="35"/>
      <c r="J402" s="35"/>
      <c r="K402" s="35"/>
      <c r="L402" s="35"/>
      <c r="M402" s="35"/>
      <c r="N402" s="35"/>
      <c r="O402" s="35"/>
      <c r="P402" s="35"/>
    </row>
    <row r="403" spans="2:16" s="69" customFormat="1" x14ac:dyDescent="0.2">
      <c r="B403" s="209" t="s">
        <v>54</v>
      </c>
      <c r="C403" s="27">
        <v>302861.37</v>
      </c>
      <c r="D403" s="99"/>
      <c r="E403" s="99"/>
      <c r="F403" s="99"/>
      <c r="G403" s="99"/>
      <c r="H403" s="35"/>
    </row>
    <row r="404" spans="2:16" s="1" customFormat="1" ht="14.25" x14ac:dyDescent="0.2">
      <c r="B404" s="209" t="s">
        <v>55</v>
      </c>
      <c r="C404" s="27">
        <f>SUM(C405:C410)</f>
        <v>183521.82</v>
      </c>
      <c r="D404" s="99"/>
      <c r="E404" s="99"/>
      <c r="F404" s="99"/>
      <c r="G404" s="99"/>
      <c r="H404" s="35"/>
      <c r="I404" s="35"/>
      <c r="J404" s="35"/>
      <c r="K404" s="35"/>
      <c r="L404" s="35"/>
      <c r="M404" s="35"/>
      <c r="N404" s="35"/>
      <c r="O404" s="35"/>
      <c r="P404" s="35"/>
    </row>
    <row r="405" spans="2:16" s="1" customFormat="1" ht="14.25" x14ac:dyDescent="0.2">
      <c r="B405" s="57" t="s">
        <v>66</v>
      </c>
      <c r="C405" s="26">
        <v>2720.57</v>
      </c>
      <c r="D405" s="99"/>
      <c r="E405" s="99"/>
      <c r="F405" s="99"/>
      <c r="G405" s="99"/>
      <c r="H405" s="35"/>
      <c r="I405" s="35"/>
      <c r="J405" s="35"/>
      <c r="K405" s="35"/>
      <c r="L405" s="35"/>
      <c r="M405" s="35"/>
      <c r="N405" s="35"/>
      <c r="O405" s="35"/>
      <c r="P405" s="35"/>
    </row>
    <row r="406" spans="2:16" s="1" customFormat="1" ht="14.25" x14ac:dyDescent="0.2">
      <c r="B406" s="57" t="s">
        <v>56</v>
      </c>
      <c r="C406" s="26">
        <v>88981.37</v>
      </c>
      <c r="D406" s="99"/>
      <c r="E406" s="99"/>
      <c r="F406" s="99"/>
      <c r="G406" s="99"/>
      <c r="H406" s="35"/>
      <c r="I406" s="35"/>
      <c r="J406" s="35"/>
      <c r="K406" s="35"/>
      <c r="L406" s="35"/>
      <c r="M406" s="35"/>
      <c r="N406" s="35"/>
      <c r="O406" s="35"/>
      <c r="P406" s="35"/>
    </row>
    <row r="407" spans="2:16" s="1" customFormat="1" ht="14.25" x14ac:dyDescent="0.2">
      <c r="B407" s="57" t="s">
        <v>57</v>
      </c>
      <c r="C407" s="26">
        <v>20542.41</v>
      </c>
      <c r="D407" s="99"/>
      <c r="E407" s="99"/>
      <c r="F407" s="99"/>
      <c r="G407" s="99"/>
      <c r="H407" s="35"/>
      <c r="I407" s="35"/>
      <c r="J407" s="35"/>
      <c r="K407" s="35"/>
      <c r="L407" s="35"/>
      <c r="M407" s="35"/>
      <c r="N407" s="35"/>
      <c r="O407" s="35"/>
      <c r="P407" s="35"/>
    </row>
    <row r="408" spans="2:16" s="1" customFormat="1" ht="13.5" customHeight="1" x14ac:dyDescent="0.2">
      <c r="B408" s="57" t="s">
        <v>59</v>
      </c>
      <c r="C408" s="26">
        <v>8399.43</v>
      </c>
      <c r="D408" s="99"/>
      <c r="E408" s="99"/>
      <c r="F408" s="99"/>
      <c r="G408" s="99"/>
      <c r="H408" s="35"/>
      <c r="I408" s="35"/>
      <c r="J408" s="35"/>
      <c r="K408" s="35"/>
      <c r="L408" s="35"/>
      <c r="M408" s="35"/>
      <c r="N408" s="35"/>
      <c r="O408" s="35"/>
      <c r="P408" s="35"/>
    </row>
    <row r="409" spans="2:16" s="1" customFormat="1" ht="14.25" x14ac:dyDescent="0.2">
      <c r="B409" s="57" t="s">
        <v>60</v>
      </c>
      <c r="C409" s="26">
        <v>2561.2600000000002</v>
      </c>
      <c r="D409" s="99"/>
      <c r="E409" s="99"/>
      <c r="F409" s="99"/>
      <c r="G409" s="99"/>
      <c r="H409" s="35"/>
      <c r="I409" s="35"/>
      <c r="J409" s="35"/>
      <c r="K409" s="35"/>
      <c r="L409" s="35"/>
      <c r="M409" s="35"/>
      <c r="N409" s="35"/>
      <c r="O409" s="35"/>
      <c r="P409" s="35"/>
    </row>
    <row r="410" spans="2:16" s="1" customFormat="1" ht="14.25" x14ac:dyDescent="0.2">
      <c r="B410" s="57" t="s">
        <v>61</v>
      </c>
      <c r="C410" s="26">
        <v>60316.78</v>
      </c>
      <c r="D410" s="7"/>
      <c r="E410" s="7"/>
      <c r="F410" s="7"/>
      <c r="G410" s="7"/>
      <c r="H410" s="36"/>
      <c r="I410" s="35"/>
      <c r="J410" s="35"/>
      <c r="K410" s="35"/>
      <c r="L410" s="35"/>
      <c r="M410" s="35"/>
      <c r="N410" s="35"/>
      <c r="O410" s="35"/>
      <c r="P410" s="35"/>
    </row>
    <row r="411" spans="2:16" s="1" customFormat="1" ht="14.25" x14ac:dyDescent="0.2">
      <c r="B411" s="209" t="s">
        <v>62</v>
      </c>
      <c r="C411" s="27">
        <v>21462.97</v>
      </c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</row>
    <row r="412" spans="2:16" s="1" customFormat="1" ht="14.25" x14ac:dyDescent="0.2">
      <c r="B412" s="209" t="s">
        <v>490</v>
      </c>
      <c r="C412" s="213">
        <v>11889.4</v>
      </c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</row>
    <row r="413" spans="2:16" s="1" customFormat="1" ht="21.75" customHeight="1" x14ac:dyDescent="0.2">
      <c r="B413" s="211" t="s">
        <v>96</v>
      </c>
      <c r="C413" s="45">
        <f>C402+C403+C404+C411+C412</f>
        <v>1388285.47</v>
      </c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</row>
  </sheetData>
  <mergeCells count="89">
    <mergeCell ref="B298:D298"/>
    <mergeCell ref="B41:D41"/>
    <mergeCell ref="B9:E9"/>
    <mergeCell ref="B10:D10"/>
    <mergeCell ref="B11:D11"/>
    <mergeCell ref="B12:D12"/>
    <mergeCell ref="B13:D13"/>
    <mergeCell ref="B14:D14"/>
    <mergeCell ref="B38:E38"/>
    <mergeCell ref="B39:D39"/>
    <mergeCell ref="B40:D40"/>
    <mergeCell ref="C16:D16"/>
    <mergeCell ref="E16:F16"/>
    <mergeCell ref="B89:D89"/>
    <mergeCell ref="B42:D42"/>
    <mergeCell ref="B43:D43"/>
    <mergeCell ref="B44:D44"/>
    <mergeCell ref="B81:E81"/>
    <mergeCell ref="B82:D82"/>
    <mergeCell ref="B84:D84"/>
    <mergeCell ref="B85:D85"/>
    <mergeCell ref="B86:D86"/>
    <mergeCell ref="C46:D46"/>
    <mergeCell ref="E46:F46"/>
    <mergeCell ref="B83:D83"/>
    <mergeCell ref="C91:D91"/>
    <mergeCell ref="C118:D118"/>
    <mergeCell ref="E118:F118"/>
    <mergeCell ref="B111:E111"/>
    <mergeCell ref="B112:D112"/>
    <mergeCell ref="B113:D113"/>
    <mergeCell ref="B114:D114"/>
    <mergeCell ref="B115:D115"/>
    <mergeCell ref="B116:D116"/>
    <mergeCell ref="B152:E152"/>
    <mergeCell ref="B182:D182"/>
    <mergeCell ref="B224:E224"/>
    <mergeCell ref="C184:D184"/>
    <mergeCell ref="B154:D154"/>
    <mergeCell ref="B175:E175"/>
    <mergeCell ref="B176:D176"/>
    <mergeCell ref="B178:D178"/>
    <mergeCell ref="B179:D179"/>
    <mergeCell ref="B180:D180"/>
    <mergeCell ref="B177:D177"/>
    <mergeCell ref="D157:E157"/>
    <mergeCell ref="B155:D155"/>
    <mergeCell ref="B296:E296"/>
    <mergeCell ref="B227:D227"/>
    <mergeCell ref="B228:D228"/>
    <mergeCell ref="B230:D230"/>
    <mergeCell ref="B252:E252"/>
    <mergeCell ref="B253:D253"/>
    <mergeCell ref="B254:D254"/>
    <mergeCell ref="B255:D255"/>
    <mergeCell ref="B256:D256"/>
    <mergeCell ref="B259:D259"/>
    <mergeCell ref="B398:D398"/>
    <mergeCell ref="B369:D369"/>
    <mergeCell ref="B371:D371"/>
    <mergeCell ref="B372:D372"/>
    <mergeCell ref="B392:E392"/>
    <mergeCell ref="B393:D393"/>
    <mergeCell ref="B394:D394"/>
    <mergeCell ref="B370:D370"/>
    <mergeCell ref="B302:D302"/>
    <mergeCell ref="B396:D396"/>
    <mergeCell ref="B397:D397"/>
    <mergeCell ref="B395:D395"/>
    <mergeCell ref="B368:E368"/>
    <mergeCell ref="B305:D305"/>
    <mergeCell ref="B303:D303"/>
    <mergeCell ref="B304:D304"/>
    <mergeCell ref="B225:D225"/>
    <mergeCell ref="B226:D226"/>
    <mergeCell ref="B153:D153"/>
    <mergeCell ref="E91:G91"/>
    <mergeCell ref="D308:E308"/>
    <mergeCell ref="F308:H308"/>
    <mergeCell ref="E184:G184"/>
    <mergeCell ref="C232:D232"/>
    <mergeCell ref="E232:F232"/>
    <mergeCell ref="C261:D261"/>
    <mergeCell ref="E261:F261"/>
    <mergeCell ref="B306:D306"/>
    <mergeCell ref="B297:D297"/>
    <mergeCell ref="B299:D299"/>
    <mergeCell ref="B300:D300"/>
    <mergeCell ref="B301:D301"/>
  </mergeCells>
  <pageMargins left="0.39370078740157483" right="0" top="0.59055118110236227" bottom="0.47244094488188981" header="0.19685039370078741" footer="7.874015748031496E-2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C1:I75"/>
  <sheetViews>
    <sheetView workbookViewId="0"/>
  </sheetViews>
  <sheetFormatPr defaultRowHeight="14.25" x14ac:dyDescent="0.25"/>
  <cols>
    <col min="1" max="1" width="1.5703125" style="8" customWidth="1"/>
    <col min="2" max="2" width="4.28515625" style="8" customWidth="1"/>
    <col min="3" max="3" width="6.28515625" style="8" customWidth="1"/>
    <col min="4" max="4" width="39.42578125" style="8" customWidth="1"/>
    <col min="5" max="5" width="58.7109375" style="8" customWidth="1"/>
    <col min="6" max="6" width="17.85546875" style="277" customWidth="1"/>
    <col min="7" max="7" width="9.140625" style="8" customWidth="1"/>
    <col min="8" max="8" width="9.140625" style="8"/>
    <col min="9" max="9" width="10" style="8" bestFit="1" customWidth="1"/>
    <col min="10" max="16384" width="9.140625" style="8"/>
  </cols>
  <sheetData>
    <row r="1" spans="3:6" x14ac:dyDescent="0.25">
      <c r="C1" s="416"/>
      <c r="D1" s="416"/>
      <c r="E1" s="416"/>
      <c r="F1" s="417"/>
    </row>
    <row r="2" spans="3:6" x14ac:dyDescent="0.25">
      <c r="C2" s="416"/>
      <c r="D2" s="416"/>
      <c r="E2" s="416"/>
      <c r="F2" s="417"/>
    </row>
    <row r="3" spans="3:6" x14ac:dyDescent="0.25">
      <c r="C3" s="416"/>
      <c r="D3" s="416"/>
      <c r="E3" s="416"/>
      <c r="F3" s="418" t="s">
        <v>150</v>
      </c>
    </row>
    <row r="4" spans="3:6" ht="18" x14ac:dyDescent="0.25">
      <c r="C4" s="594" t="s">
        <v>942</v>
      </c>
      <c r="D4" s="594"/>
      <c r="E4" s="594"/>
      <c r="F4" s="594"/>
    </row>
    <row r="5" spans="3:6" ht="6" customHeight="1" x14ac:dyDescent="0.25">
      <c r="C5" s="419"/>
      <c r="D5" s="420"/>
      <c r="E5" s="420"/>
      <c r="F5" s="421"/>
    </row>
    <row r="6" spans="3:6" ht="33" customHeight="1" x14ac:dyDescent="0.25">
      <c r="C6" s="422" t="s">
        <v>151</v>
      </c>
      <c r="D6" s="423" t="s">
        <v>152</v>
      </c>
      <c r="E6" s="423" t="s">
        <v>153</v>
      </c>
      <c r="F6" s="424" t="s">
        <v>154</v>
      </c>
    </row>
    <row r="7" spans="3:6" x14ac:dyDescent="0.25">
      <c r="C7" s="591" t="s">
        <v>155</v>
      </c>
      <c r="D7" s="591"/>
      <c r="E7" s="591"/>
      <c r="F7" s="425">
        <f>SUM(F8:F30)</f>
        <v>14836976.300000001</v>
      </c>
    </row>
    <row r="8" spans="3:6" ht="25.5" x14ac:dyDescent="0.2">
      <c r="C8" s="133">
        <v>1</v>
      </c>
      <c r="D8" s="91" t="s">
        <v>1013</v>
      </c>
      <c r="E8" s="293" t="s">
        <v>998</v>
      </c>
      <c r="F8" s="554">
        <v>25488</v>
      </c>
    </row>
    <row r="9" spans="3:6" x14ac:dyDescent="0.2">
      <c r="C9" s="133">
        <v>2</v>
      </c>
      <c r="D9" s="91" t="s">
        <v>1013</v>
      </c>
      <c r="E9" s="427" t="s">
        <v>999</v>
      </c>
      <c r="F9" s="554">
        <v>164749</v>
      </c>
    </row>
    <row r="10" spans="3:6" x14ac:dyDescent="0.2">
      <c r="C10" s="133">
        <v>3</v>
      </c>
      <c r="D10" s="91" t="s">
        <v>1013</v>
      </c>
      <c r="E10" s="427" t="s">
        <v>1004</v>
      </c>
      <c r="F10" s="554">
        <v>112953</v>
      </c>
    </row>
    <row r="11" spans="3:6" x14ac:dyDescent="0.2">
      <c r="C11" s="133">
        <f>C10+1</f>
        <v>4</v>
      </c>
      <c r="D11" s="91" t="s">
        <v>1013</v>
      </c>
      <c r="E11" s="427" t="s">
        <v>1006</v>
      </c>
      <c r="F11" s="554">
        <v>11534008</v>
      </c>
    </row>
    <row r="12" spans="3:6" x14ac:dyDescent="0.2">
      <c r="C12" s="133">
        <f t="shared" ref="C12:C20" si="0">C11+1</f>
        <v>5</v>
      </c>
      <c r="D12" s="91" t="s">
        <v>1013</v>
      </c>
      <c r="E12" s="426" t="s">
        <v>1005</v>
      </c>
      <c r="F12" s="554">
        <v>37647</v>
      </c>
    </row>
    <row r="13" spans="3:6" ht="25.5" x14ac:dyDescent="0.2">
      <c r="C13" s="133">
        <f t="shared" si="0"/>
        <v>6</v>
      </c>
      <c r="D13" s="91" t="s">
        <v>1013</v>
      </c>
      <c r="E13" s="551" t="s">
        <v>996</v>
      </c>
      <c r="F13" s="554">
        <v>108788</v>
      </c>
    </row>
    <row r="14" spans="3:6" x14ac:dyDescent="0.2">
      <c r="C14" s="133">
        <f t="shared" si="0"/>
        <v>7</v>
      </c>
      <c r="D14" s="91" t="s">
        <v>1013</v>
      </c>
      <c r="E14" s="426" t="s">
        <v>1000</v>
      </c>
      <c r="F14" s="554">
        <v>20000</v>
      </c>
    </row>
    <row r="15" spans="3:6" x14ac:dyDescent="0.2">
      <c r="C15" s="133">
        <f t="shared" si="0"/>
        <v>8</v>
      </c>
      <c r="D15" s="91" t="s">
        <v>1013</v>
      </c>
      <c r="E15" s="426" t="s">
        <v>1001</v>
      </c>
      <c r="F15" s="554">
        <v>38089</v>
      </c>
    </row>
    <row r="16" spans="3:6" x14ac:dyDescent="0.2">
      <c r="C16" s="133">
        <f t="shared" si="0"/>
        <v>9</v>
      </c>
      <c r="D16" s="91" t="s">
        <v>1013</v>
      </c>
      <c r="E16" s="426" t="s">
        <v>1002</v>
      </c>
      <c r="F16" s="554">
        <v>1050</v>
      </c>
    </row>
    <row r="17" spans="3:9" x14ac:dyDescent="0.2">
      <c r="C17" s="133">
        <f>C16+1</f>
        <v>10</v>
      </c>
      <c r="D17" s="91" t="s">
        <v>1013</v>
      </c>
      <c r="E17" s="551" t="s">
        <v>1003</v>
      </c>
      <c r="F17" s="554">
        <v>108647</v>
      </c>
    </row>
    <row r="18" spans="3:9" x14ac:dyDescent="0.2">
      <c r="C18" s="133">
        <f t="shared" si="0"/>
        <v>11</v>
      </c>
      <c r="D18" s="91" t="s">
        <v>1013</v>
      </c>
      <c r="E18" s="551" t="s">
        <v>1007</v>
      </c>
      <c r="F18" s="554">
        <v>329021</v>
      </c>
    </row>
    <row r="19" spans="3:9" x14ac:dyDescent="0.2">
      <c r="C19" s="133">
        <f t="shared" si="0"/>
        <v>12</v>
      </c>
      <c r="D19" s="91" t="s">
        <v>1013</v>
      </c>
      <c r="E19" s="551" t="s">
        <v>1008</v>
      </c>
      <c r="F19" s="554">
        <v>40922</v>
      </c>
      <c r="I19" s="429"/>
    </row>
    <row r="20" spans="3:9" x14ac:dyDescent="0.2">
      <c r="C20" s="133">
        <f t="shared" si="0"/>
        <v>13</v>
      </c>
      <c r="D20" s="91" t="s">
        <v>1013</v>
      </c>
      <c r="E20" s="551" t="s">
        <v>610</v>
      </c>
      <c r="F20" s="554">
        <v>44300</v>
      </c>
      <c r="I20" s="429"/>
    </row>
    <row r="21" spans="3:9" x14ac:dyDescent="0.2">
      <c r="C21" s="133">
        <f>C20+1</f>
        <v>14</v>
      </c>
      <c r="D21" s="91" t="s">
        <v>1013</v>
      </c>
      <c r="E21" s="551" t="s">
        <v>611</v>
      </c>
      <c r="F21" s="554">
        <v>73200</v>
      </c>
      <c r="H21" s="429"/>
      <c r="I21" s="429"/>
    </row>
    <row r="22" spans="3:9" x14ac:dyDescent="0.2">
      <c r="C22" s="133">
        <f>C21+1</f>
        <v>15</v>
      </c>
      <c r="D22" s="91" t="s">
        <v>1013</v>
      </c>
      <c r="E22" s="551" t="s">
        <v>1009</v>
      </c>
      <c r="F22" s="554">
        <v>60580</v>
      </c>
      <c r="H22" s="429"/>
      <c r="I22" s="429"/>
    </row>
    <row r="23" spans="3:9" x14ac:dyDescent="0.2">
      <c r="C23" s="133">
        <f t="shared" ref="C23:C30" si="1">C22+1</f>
        <v>16</v>
      </c>
      <c r="D23" s="91" t="s">
        <v>504</v>
      </c>
      <c r="E23" s="551" t="s">
        <v>1010</v>
      </c>
      <c r="F23" s="554">
        <v>448.2</v>
      </c>
      <c r="H23" s="429"/>
      <c r="I23" s="429"/>
    </row>
    <row r="24" spans="3:9" x14ac:dyDescent="0.2">
      <c r="C24" s="133">
        <f t="shared" si="1"/>
        <v>17</v>
      </c>
      <c r="D24" s="91" t="s">
        <v>504</v>
      </c>
      <c r="E24" s="551" t="s">
        <v>1011</v>
      </c>
      <c r="F24" s="554">
        <v>1106941</v>
      </c>
      <c r="H24" s="429"/>
      <c r="I24" s="429"/>
    </row>
    <row r="25" spans="3:9" x14ac:dyDescent="0.2">
      <c r="C25" s="133">
        <f t="shared" si="1"/>
        <v>18</v>
      </c>
      <c r="D25" s="91" t="s">
        <v>504</v>
      </c>
      <c r="E25" s="551" t="s">
        <v>1012</v>
      </c>
      <c r="F25" s="554">
        <v>24941.8</v>
      </c>
      <c r="H25" s="429"/>
      <c r="I25" s="429"/>
    </row>
    <row r="26" spans="3:9" x14ac:dyDescent="0.2">
      <c r="C26" s="133">
        <f t="shared" si="1"/>
        <v>19</v>
      </c>
      <c r="D26" s="91" t="s">
        <v>991</v>
      </c>
      <c r="E26" s="551" t="s">
        <v>997</v>
      </c>
      <c r="F26" s="554">
        <v>491275.3</v>
      </c>
      <c r="H26" s="430"/>
      <c r="I26" s="430"/>
    </row>
    <row r="27" spans="3:9" x14ac:dyDescent="0.2">
      <c r="C27" s="133">
        <f t="shared" si="1"/>
        <v>20</v>
      </c>
      <c r="D27" s="91" t="s">
        <v>1013</v>
      </c>
      <c r="E27" s="551" t="s">
        <v>940</v>
      </c>
      <c r="F27" s="554">
        <v>6250</v>
      </c>
      <c r="H27" s="430"/>
      <c r="I27" s="430"/>
    </row>
    <row r="28" spans="3:9" x14ac:dyDescent="0.2">
      <c r="C28" s="133">
        <f t="shared" si="1"/>
        <v>21</v>
      </c>
      <c r="D28" s="91" t="s">
        <v>1013</v>
      </c>
      <c r="E28" s="551" t="s">
        <v>612</v>
      </c>
      <c r="F28" s="554">
        <v>2883</v>
      </c>
      <c r="H28" s="430"/>
      <c r="I28" s="430"/>
    </row>
    <row r="29" spans="3:9" x14ac:dyDescent="0.2">
      <c r="C29" s="133">
        <f t="shared" si="1"/>
        <v>22</v>
      </c>
      <c r="D29" s="91" t="s">
        <v>1013</v>
      </c>
      <c r="E29" s="551" t="s">
        <v>613</v>
      </c>
      <c r="F29" s="554">
        <v>489662</v>
      </c>
      <c r="H29" s="430"/>
      <c r="I29" s="430"/>
    </row>
    <row r="30" spans="3:9" ht="25.5" x14ac:dyDescent="0.2">
      <c r="C30" s="133">
        <f t="shared" si="1"/>
        <v>23</v>
      </c>
      <c r="D30" s="91" t="s">
        <v>1013</v>
      </c>
      <c r="E30" s="551" t="s">
        <v>941</v>
      </c>
      <c r="F30" s="554">
        <v>15133</v>
      </c>
      <c r="H30" s="430"/>
      <c r="I30" s="430"/>
    </row>
    <row r="31" spans="3:9" x14ac:dyDescent="0.25">
      <c r="C31" s="593" t="s">
        <v>156</v>
      </c>
      <c r="D31" s="593"/>
      <c r="E31" s="593"/>
      <c r="F31" s="431">
        <f>SUM(F32:F58)</f>
        <v>6860024.4200000009</v>
      </c>
      <c r="H31" s="430"/>
      <c r="I31" s="430"/>
    </row>
    <row r="32" spans="3:9" x14ac:dyDescent="0.2">
      <c r="C32" s="133">
        <v>28</v>
      </c>
      <c r="D32" s="91" t="s">
        <v>503</v>
      </c>
      <c r="E32" s="427" t="s">
        <v>1014</v>
      </c>
      <c r="F32" s="432">
        <v>12431.07</v>
      </c>
      <c r="G32" s="429"/>
    </row>
    <row r="33" spans="3:9" x14ac:dyDescent="0.2">
      <c r="C33" s="133">
        <v>29</v>
      </c>
      <c r="D33" s="91" t="s">
        <v>503</v>
      </c>
      <c r="E33" s="427" t="s">
        <v>1015</v>
      </c>
      <c r="F33" s="432">
        <v>1823721</v>
      </c>
      <c r="G33" s="429"/>
    </row>
    <row r="34" spans="3:9" x14ac:dyDescent="0.2">
      <c r="C34" s="133">
        <v>30</v>
      </c>
      <c r="D34" s="91" t="s">
        <v>994</v>
      </c>
      <c r="E34" s="428" t="s">
        <v>1016</v>
      </c>
      <c r="F34" s="433">
        <v>6606.6</v>
      </c>
      <c r="G34" s="429"/>
    </row>
    <row r="35" spans="3:9" ht="25.5" x14ac:dyDescent="0.25">
      <c r="C35" s="133">
        <v>31</v>
      </c>
      <c r="D35" s="89" t="s">
        <v>505</v>
      </c>
      <c r="E35" s="317" t="s">
        <v>1017</v>
      </c>
      <c r="F35" s="434">
        <v>24292.42</v>
      </c>
      <c r="G35" s="429"/>
    </row>
    <row r="36" spans="3:9" ht="28.5" customHeight="1" x14ac:dyDescent="0.25">
      <c r="C36" s="133">
        <v>32</v>
      </c>
      <c r="D36" s="91" t="s">
        <v>503</v>
      </c>
      <c r="E36" s="435" t="s">
        <v>506</v>
      </c>
      <c r="F36" s="434">
        <v>6026.15</v>
      </c>
      <c r="G36" s="416"/>
    </row>
    <row r="37" spans="3:9" ht="25.5" x14ac:dyDescent="0.25">
      <c r="C37" s="133">
        <v>33</v>
      </c>
      <c r="D37" s="89" t="s">
        <v>505</v>
      </c>
      <c r="E37" s="89" t="s">
        <v>507</v>
      </c>
      <c r="F37" s="434">
        <v>2352.59</v>
      </c>
      <c r="G37" s="416"/>
    </row>
    <row r="38" spans="3:9" ht="25.5" x14ac:dyDescent="0.2">
      <c r="C38" s="133">
        <v>34</v>
      </c>
      <c r="D38" s="89" t="s">
        <v>505</v>
      </c>
      <c r="E38" s="426" t="s">
        <v>508</v>
      </c>
      <c r="F38" s="549">
        <v>82596.45</v>
      </c>
      <c r="G38" s="416"/>
    </row>
    <row r="39" spans="3:9" x14ac:dyDescent="0.2">
      <c r="C39" s="133">
        <v>35</v>
      </c>
      <c r="D39" s="91" t="s">
        <v>943</v>
      </c>
      <c r="E39" s="426" t="s">
        <v>1018</v>
      </c>
      <c r="F39" s="549">
        <v>1322191.67</v>
      </c>
      <c r="G39" s="416"/>
    </row>
    <row r="40" spans="3:9" x14ac:dyDescent="0.2">
      <c r="C40" s="133">
        <v>36</v>
      </c>
      <c r="D40" s="91" t="s">
        <v>943</v>
      </c>
      <c r="E40" s="426" t="s">
        <v>1019</v>
      </c>
      <c r="F40" s="549">
        <v>253002.96</v>
      </c>
      <c r="G40" s="416"/>
    </row>
    <row r="41" spans="3:9" ht="13.5" customHeight="1" x14ac:dyDescent="0.2">
      <c r="C41" s="133">
        <v>37</v>
      </c>
      <c r="D41" s="91" t="s">
        <v>509</v>
      </c>
      <c r="E41" s="426" t="s">
        <v>1033</v>
      </c>
      <c r="F41" s="549">
        <v>60712.41</v>
      </c>
      <c r="G41" s="416"/>
    </row>
    <row r="42" spans="3:9" ht="14.25" customHeight="1" x14ac:dyDescent="0.2">
      <c r="C42" s="133">
        <v>38</v>
      </c>
      <c r="D42" s="91" t="s">
        <v>509</v>
      </c>
      <c r="E42" s="426" t="s">
        <v>1020</v>
      </c>
      <c r="F42" s="549">
        <v>19680</v>
      </c>
      <c r="G42" s="416"/>
    </row>
    <row r="43" spans="3:9" x14ac:dyDescent="0.2">
      <c r="C43" s="133">
        <v>39</v>
      </c>
      <c r="D43" s="91" t="s">
        <v>509</v>
      </c>
      <c r="E43" s="426" t="s">
        <v>510</v>
      </c>
      <c r="F43" s="549">
        <v>173181.9</v>
      </c>
      <c r="G43" s="416"/>
    </row>
    <row r="44" spans="3:9" x14ac:dyDescent="0.2">
      <c r="C44" s="133">
        <v>40</v>
      </c>
      <c r="D44" s="91" t="s">
        <v>509</v>
      </c>
      <c r="E44" s="426" t="s">
        <v>511</v>
      </c>
      <c r="F44" s="549">
        <v>531.6</v>
      </c>
      <c r="G44" s="416"/>
    </row>
    <row r="45" spans="3:9" x14ac:dyDescent="0.2">
      <c r="C45" s="133">
        <v>41</v>
      </c>
      <c r="D45" s="91" t="s">
        <v>509</v>
      </c>
      <c r="E45" s="426" t="s">
        <v>512</v>
      </c>
      <c r="F45" s="549">
        <v>17971.14</v>
      </c>
      <c r="G45" s="416"/>
    </row>
    <row r="46" spans="3:9" ht="25.5" x14ac:dyDescent="0.25">
      <c r="C46" s="133">
        <v>42</v>
      </c>
      <c r="D46" s="89" t="s">
        <v>992</v>
      </c>
      <c r="E46" s="89" t="s">
        <v>995</v>
      </c>
      <c r="F46" s="549">
        <v>74650.84</v>
      </c>
      <c r="G46" s="416"/>
      <c r="I46" s="277"/>
    </row>
    <row r="47" spans="3:9" ht="25.5" x14ac:dyDescent="0.25">
      <c r="C47" s="133">
        <v>43</v>
      </c>
      <c r="D47" s="89" t="s">
        <v>992</v>
      </c>
      <c r="E47" s="91" t="s">
        <v>944</v>
      </c>
      <c r="F47" s="549">
        <v>1558</v>
      </c>
      <c r="G47" s="416"/>
    </row>
    <row r="48" spans="3:9" ht="25.5" x14ac:dyDescent="0.25">
      <c r="C48" s="133">
        <v>44</v>
      </c>
      <c r="D48" s="88" t="s">
        <v>992</v>
      </c>
      <c r="E48" s="91" t="s">
        <v>1021</v>
      </c>
      <c r="F48" s="549">
        <v>1840800</v>
      </c>
      <c r="G48" s="416"/>
    </row>
    <row r="49" spans="3:7" x14ac:dyDescent="0.2">
      <c r="C49" s="133">
        <v>45</v>
      </c>
      <c r="D49" s="91" t="s">
        <v>472</v>
      </c>
      <c r="E49" s="426" t="s">
        <v>1022</v>
      </c>
      <c r="F49" s="549">
        <v>699544.21</v>
      </c>
      <c r="G49" s="416"/>
    </row>
    <row r="50" spans="3:7" x14ac:dyDescent="0.2">
      <c r="C50" s="133">
        <v>46</v>
      </c>
      <c r="D50" s="91" t="s">
        <v>504</v>
      </c>
      <c r="E50" s="426" t="s">
        <v>513</v>
      </c>
      <c r="F50" s="549">
        <v>15630</v>
      </c>
      <c r="G50" s="416"/>
    </row>
    <row r="51" spans="3:7" x14ac:dyDescent="0.2">
      <c r="C51" s="133">
        <v>47</v>
      </c>
      <c r="D51" s="91" t="s">
        <v>1023</v>
      </c>
      <c r="E51" s="426" t="s">
        <v>1024</v>
      </c>
      <c r="F51" s="549">
        <v>368791.36</v>
      </c>
      <c r="G51" s="416"/>
    </row>
    <row r="52" spans="3:7" ht="16.5" customHeight="1" x14ac:dyDescent="0.2">
      <c r="C52" s="133">
        <v>48</v>
      </c>
      <c r="D52" s="91" t="s">
        <v>504</v>
      </c>
      <c r="E52" s="426" t="s">
        <v>945</v>
      </c>
      <c r="F52" s="549">
        <v>2952.05</v>
      </c>
      <c r="G52" s="416"/>
    </row>
    <row r="53" spans="3:7" x14ac:dyDescent="0.25">
      <c r="C53" s="133">
        <v>49</v>
      </c>
      <c r="D53" s="91" t="s">
        <v>514</v>
      </c>
      <c r="E53" s="91" t="s">
        <v>614</v>
      </c>
      <c r="F53" s="549">
        <v>3000</v>
      </c>
      <c r="G53" s="416"/>
    </row>
    <row r="54" spans="3:7" x14ac:dyDescent="0.25">
      <c r="C54" s="133">
        <v>50</v>
      </c>
      <c r="D54" s="91" t="s">
        <v>514</v>
      </c>
      <c r="E54" s="91" t="s">
        <v>615</v>
      </c>
      <c r="F54" s="549">
        <v>1400</v>
      </c>
      <c r="G54" s="416"/>
    </row>
    <row r="55" spans="3:7" ht="25.5" x14ac:dyDescent="0.25">
      <c r="C55" s="133">
        <v>51</v>
      </c>
      <c r="D55" s="91" t="s">
        <v>946</v>
      </c>
      <c r="E55" s="89" t="s">
        <v>947</v>
      </c>
      <c r="F55" s="549">
        <v>4000</v>
      </c>
      <c r="G55" s="416"/>
    </row>
    <row r="56" spans="3:7" x14ac:dyDescent="0.25">
      <c r="C56" s="133">
        <v>52</v>
      </c>
      <c r="D56" s="91" t="s">
        <v>616</v>
      </c>
      <c r="E56" s="89" t="s">
        <v>948</v>
      </c>
      <c r="F56" s="549">
        <v>20000</v>
      </c>
      <c r="G56" s="416"/>
    </row>
    <row r="57" spans="3:7" x14ac:dyDescent="0.25">
      <c r="C57" s="133">
        <v>53</v>
      </c>
      <c r="D57" s="91" t="s">
        <v>472</v>
      </c>
      <c r="E57" s="89" t="s">
        <v>1025</v>
      </c>
      <c r="F57" s="549">
        <v>9600</v>
      </c>
      <c r="G57" s="416"/>
    </row>
    <row r="58" spans="3:7" ht="25.5" x14ac:dyDescent="0.25">
      <c r="C58" s="133">
        <v>54</v>
      </c>
      <c r="D58" s="435" t="s">
        <v>472</v>
      </c>
      <c r="E58" s="436" t="s">
        <v>1026</v>
      </c>
      <c r="F58" s="434">
        <v>12800</v>
      </c>
      <c r="G58" s="416"/>
    </row>
    <row r="59" spans="3:7" x14ac:dyDescent="0.25">
      <c r="C59" s="592" t="s">
        <v>96</v>
      </c>
      <c r="D59" s="592"/>
      <c r="E59" s="592"/>
      <c r="F59" s="437">
        <f>F31+F7</f>
        <v>21697000.720000003</v>
      </c>
      <c r="G59" s="416"/>
    </row>
    <row r="60" spans="3:7" x14ac:dyDescent="0.25">
      <c r="C60" s="416"/>
      <c r="D60" s="416"/>
      <c r="E60" s="416"/>
      <c r="F60" s="417"/>
      <c r="G60" s="416"/>
    </row>
    <row r="61" spans="3:7" x14ac:dyDescent="0.25">
      <c r="C61" s="416"/>
      <c r="D61" s="416"/>
      <c r="E61" s="416"/>
      <c r="F61" s="417"/>
      <c r="G61" s="416"/>
    </row>
    <row r="62" spans="3:7" x14ac:dyDescent="0.25">
      <c r="C62" s="416"/>
      <c r="D62" s="416"/>
      <c r="E62" s="416"/>
      <c r="F62" s="417"/>
      <c r="G62" s="416"/>
    </row>
    <row r="63" spans="3:7" x14ac:dyDescent="0.25">
      <c r="C63" s="416"/>
      <c r="D63" s="416"/>
      <c r="E63" s="416"/>
      <c r="F63" s="417"/>
      <c r="G63" s="416"/>
    </row>
    <row r="64" spans="3:7" x14ac:dyDescent="0.25">
      <c r="C64" s="416"/>
      <c r="D64" s="416"/>
      <c r="E64" s="416"/>
      <c r="F64" s="417"/>
      <c r="G64" s="416"/>
    </row>
    <row r="65" spans="3:7" x14ac:dyDescent="0.25">
      <c r="C65" s="416"/>
      <c r="D65" s="416"/>
      <c r="E65" s="416"/>
      <c r="F65" s="417"/>
      <c r="G65" s="416"/>
    </row>
    <row r="75" spans="3:7" x14ac:dyDescent="0.25">
      <c r="C75" s="429"/>
      <c r="D75" s="429"/>
      <c r="E75" s="429"/>
      <c r="F75" s="417"/>
      <c r="G75" s="429"/>
    </row>
  </sheetData>
  <mergeCells count="4">
    <mergeCell ref="C7:E7"/>
    <mergeCell ref="C59:E59"/>
    <mergeCell ref="C31:E31"/>
    <mergeCell ref="C4:F4"/>
  </mergeCells>
  <pageMargins left="0" right="0" top="0.55118110236220474" bottom="0.15748031496062992" header="0.15748031496062992" footer="0.15748031496062992"/>
  <pageSetup paperSize="9" scale="8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I49"/>
  <sheetViews>
    <sheetView workbookViewId="0"/>
  </sheetViews>
  <sheetFormatPr defaultRowHeight="14.25" x14ac:dyDescent="0.2"/>
  <cols>
    <col min="1" max="1" width="9.140625" style="1"/>
    <col min="2" max="2" width="6.140625" style="1" customWidth="1"/>
    <col min="3" max="3" width="48.140625" style="1" customWidth="1"/>
    <col min="4" max="4" width="73.5703125" style="1" customWidth="1"/>
    <col min="5" max="5" width="13.140625" style="305" customWidth="1"/>
    <col min="6" max="8" width="9.140625" style="1"/>
    <col min="9" max="9" width="13.140625" style="1" bestFit="1" customWidth="1"/>
    <col min="10" max="16384" width="9.140625" style="1"/>
  </cols>
  <sheetData>
    <row r="3" spans="1:9" x14ac:dyDescent="0.2">
      <c r="A3" s="1" t="s">
        <v>157</v>
      </c>
      <c r="E3" s="77" t="s">
        <v>462</v>
      </c>
    </row>
    <row r="4" spans="1:9" ht="16.5" x14ac:dyDescent="0.25">
      <c r="B4" s="596" t="s">
        <v>970</v>
      </c>
      <c r="C4" s="596"/>
      <c r="D4" s="596"/>
      <c r="E4" s="596"/>
    </row>
    <row r="5" spans="1:9" x14ac:dyDescent="0.2">
      <c r="B5" s="438"/>
      <c r="C5" s="439"/>
      <c r="D5" s="16"/>
      <c r="E5" s="440"/>
    </row>
    <row r="6" spans="1:9" ht="38.25" x14ac:dyDescent="0.2">
      <c r="B6" s="444" t="s">
        <v>151</v>
      </c>
      <c r="C6" s="445" t="s">
        <v>152</v>
      </c>
      <c r="D6" s="445" t="s">
        <v>153</v>
      </c>
      <c r="E6" s="446" t="s">
        <v>154</v>
      </c>
    </row>
    <row r="7" spans="1:9" s="8" customFormat="1" x14ac:dyDescent="0.2">
      <c r="B7" s="449">
        <v>1</v>
      </c>
      <c r="C7" s="450" t="s">
        <v>472</v>
      </c>
      <c r="D7" s="451" t="s">
        <v>949</v>
      </c>
      <c r="E7" s="452">
        <v>12800</v>
      </c>
    </row>
    <row r="8" spans="1:9" s="8" customFormat="1" x14ac:dyDescent="0.2">
      <c r="B8" s="449">
        <v>2</v>
      </c>
      <c r="C8" s="450" t="s">
        <v>472</v>
      </c>
      <c r="D8" s="451" t="s">
        <v>950</v>
      </c>
      <c r="E8" s="452">
        <v>6720</v>
      </c>
    </row>
    <row r="9" spans="1:9" s="8" customFormat="1" x14ac:dyDescent="0.2">
      <c r="B9" s="449">
        <v>3</v>
      </c>
      <c r="C9" s="550" t="s">
        <v>951</v>
      </c>
      <c r="D9" s="453" t="s">
        <v>952</v>
      </c>
      <c r="E9" s="454">
        <v>300000</v>
      </c>
      <c r="G9" s="441"/>
    </row>
    <row r="10" spans="1:9" s="8" customFormat="1" ht="25.5" x14ac:dyDescent="0.2">
      <c r="B10" s="449">
        <v>4</v>
      </c>
      <c r="C10" s="551" t="s">
        <v>992</v>
      </c>
      <c r="D10" s="450" t="s">
        <v>953</v>
      </c>
      <c r="E10" s="455">
        <v>10944</v>
      </c>
      <c r="G10" s="441"/>
      <c r="H10" s="441"/>
    </row>
    <row r="11" spans="1:9" s="8" customFormat="1" ht="25.5" x14ac:dyDescent="0.25">
      <c r="B11" s="449">
        <v>5</v>
      </c>
      <c r="C11" s="89" t="s">
        <v>992</v>
      </c>
      <c r="D11" s="450" t="s">
        <v>954</v>
      </c>
      <c r="E11" s="455">
        <v>37632.82</v>
      </c>
      <c r="G11" s="441"/>
      <c r="H11" s="441"/>
    </row>
    <row r="12" spans="1:9" s="8" customFormat="1" ht="25.5" x14ac:dyDescent="0.25">
      <c r="B12" s="449">
        <v>6</v>
      </c>
      <c r="C12" s="89" t="s">
        <v>992</v>
      </c>
      <c r="D12" s="450" t="s">
        <v>955</v>
      </c>
      <c r="E12" s="455">
        <v>247144.68</v>
      </c>
      <c r="G12" s="441"/>
      <c r="H12" s="441"/>
    </row>
    <row r="13" spans="1:9" s="8" customFormat="1" ht="25.5" x14ac:dyDescent="0.25">
      <c r="B13" s="449">
        <v>7</v>
      </c>
      <c r="C13" s="89" t="s">
        <v>992</v>
      </c>
      <c r="D13" s="450" t="s">
        <v>956</v>
      </c>
      <c r="E13" s="455">
        <v>336843.62</v>
      </c>
      <c r="G13" s="441"/>
      <c r="H13" s="441"/>
    </row>
    <row r="14" spans="1:9" s="8" customFormat="1" ht="25.5" x14ac:dyDescent="0.25">
      <c r="B14" s="449">
        <v>8</v>
      </c>
      <c r="C14" s="89" t="s">
        <v>992</v>
      </c>
      <c r="D14" s="450" t="s">
        <v>957</v>
      </c>
      <c r="E14" s="455">
        <v>658225.43999999994</v>
      </c>
      <c r="G14" s="441"/>
      <c r="H14" s="441"/>
    </row>
    <row r="15" spans="1:9" s="8" customFormat="1" ht="25.5" x14ac:dyDescent="0.25">
      <c r="B15" s="449">
        <v>9</v>
      </c>
      <c r="C15" s="89" t="s">
        <v>992</v>
      </c>
      <c r="D15" s="450" t="s">
        <v>958</v>
      </c>
      <c r="E15" s="455">
        <v>36195</v>
      </c>
      <c r="G15" s="441"/>
      <c r="H15" s="441"/>
      <c r="I15" s="277"/>
    </row>
    <row r="16" spans="1:9" s="8" customFormat="1" ht="25.5" x14ac:dyDescent="0.25">
      <c r="B16" s="449">
        <v>10</v>
      </c>
      <c r="C16" s="89" t="s">
        <v>992</v>
      </c>
      <c r="D16" s="450" t="s">
        <v>959</v>
      </c>
      <c r="E16" s="455">
        <v>161880</v>
      </c>
      <c r="G16" s="441"/>
      <c r="H16" s="441"/>
      <c r="I16" s="277"/>
    </row>
    <row r="17" spans="2:8" s="8" customFormat="1" ht="25.5" x14ac:dyDescent="0.25">
      <c r="B17" s="449">
        <v>11</v>
      </c>
      <c r="C17" s="89" t="s">
        <v>992</v>
      </c>
      <c r="D17" s="456" t="s">
        <v>960</v>
      </c>
      <c r="E17" s="455">
        <v>34094.449999999997</v>
      </c>
      <c r="G17" s="441"/>
      <c r="H17" s="441"/>
    </row>
    <row r="18" spans="2:8" s="8" customFormat="1" ht="25.5" x14ac:dyDescent="0.25">
      <c r="B18" s="449">
        <v>12</v>
      </c>
      <c r="C18" s="89" t="s">
        <v>992</v>
      </c>
      <c r="D18" s="456" t="s">
        <v>961</v>
      </c>
      <c r="E18" s="455">
        <v>6340.3</v>
      </c>
      <c r="G18" s="441"/>
      <c r="H18" s="441"/>
    </row>
    <row r="19" spans="2:8" s="8" customFormat="1" ht="25.5" x14ac:dyDescent="0.25">
      <c r="B19" s="449">
        <v>13</v>
      </c>
      <c r="C19" s="89" t="s">
        <v>992</v>
      </c>
      <c r="D19" s="456" t="s">
        <v>962</v>
      </c>
      <c r="E19" s="455">
        <v>1092.6400000000001</v>
      </c>
      <c r="G19" s="441"/>
      <c r="H19" s="441"/>
    </row>
    <row r="20" spans="2:8" s="8" customFormat="1" ht="25.5" x14ac:dyDescent="0.25">
      <c r="B20" s="449">
        <v>14</v>
      </c>
      <c r="C20" s="89" t="s">
        <v>992</v>
      </c>
      <c r="D20" s="456" t="s">
        <v>963</v>
      </c>
      <c r="E20" s="455">
        <v>148103.85</v>
      </c>
      <c r="G20" s="441"/>
      <c r="H20" s="441"/>
    </row>
    <row r="21" spans="2:8" s="8" customFormat="1" ht="25.5" x14ac:dyDescent="0.25">
      <c r="B21" s="449">
        <v>15</v>
      </c>
      <c r="C21" s="89" t="s">
        <v>992</v>
      </c>
      <c r="D21" s="456" t="s">
        <v>964</v>
      </c>
      <c r="E21" s="455">
        <v>256628.5</v>
      </c>
      <c r="G21" s="441"/>
      <c r="H21" s="441"/>
    </row>
    <row r="22" spans="2:8" s="8" customFormat="1" ht="25.5" x14ac:dyDescent="0.25">
      <c r="B22" s="449">
        <v>16</v>
      </c>
      <c r="C22" s="89" t="s">
        <v>992</v>
      </c>
      <c r="D22" s="456" t="s">
        <v>965</v>
      </c>
      <c r="E22" s="455">
        <v>245999.84</v>
      </c>
      <c r="G22" s="441"/>
      <c r="H22" s="441"/>
    </row>
    <row r="23" spans="2:8" s="8" customFormat="1" ht="25.5" x14ac:dyDescent="0.25">
      <c r="B23" s="449">
        <v>17</v>
      </c>
      <c r="C23" s="89" t="s">
        <v>992</v>
      </c>
      <c r="D23" s="456" t="s">
        <v>966</v>
      </c>
      <c r="E23" s="455">
        <v>163384.31</v>
      </c>
      <c r="G23" s="441"/>
      <c r="H23" s="441"/>
    </row>
    <row r="24" spans="2:8" s="8" customFormat="1" ht="25.5" x14ac:dyDescent="0.25">
      <c r="B24" s="449">
        <v>18</v>
      </c>
      <c r="C24" s="89" t="s">
        <v>992</v>
      </c>
      <c r="D24" s="456" t="s">
        <v>967</v>
      </c>
      <c r="E24" s="455">
        <v>318014.71999999997</v>
      </c>
      <c r="G24" s="441"/>
      <c r="H24" s="441"/>
    </row>
    <row r="25" spans="2:8" s="8" customFormat="1" ht="25.5" x14ac:dyDescent="0.2">
      <c r="B25" s="449">
        <v>19</v>
      </c>
      <c r="C25" s="450" t="s">
        <v>1027</v>
      </c>
      <c r="D25" s="555" t="s">
        <v>1028</v>
      </c>
      <c r="E25" s="455">
        <v>30000</v>
      </c>
      <c r="G25" s="441"/>
      <c r="H25" s="441"/>
    </row>
    <row r="26" spans="2:8" s="8" customFormat="1" ht="25.5" x14ac:dyDescent="0.2">
      <c r="B26" s="449">
        <v>20</v>
      </c>
      <c r="C26" s="551" t="s">
        <v>992</v>
      </c>
      <c r="D26" s="453" t="s">
        <v>944</v>
      </c>
      <c r="E26" s="455">
        <v>217050.46</v>
      </c>
      <c r="G26" s="441"/>
      <c r="H26" s="441"/>
    </row>
    <row r="27" spans="2:8" s="8" customFormat="1" x14ac:dyDescent="0.25">
      <c r="B27" s="449">
        <v>21</v>
      </c>
      <c r="C27" s="450" t="s">
        <v>951</v>
      </c>
      <c r="D27" s="450" t="s">
        <v>1029</v>
      </c>
      <c r="E27" s="455">
        <v>4018258.56</v>
      </c>
      <c r="G27" s="441"/>
      <c r="H27" s="441"/>
    </row>
    <row r="28" spans="2:8" s="8" customFormat="1" x14ac:dyDescent="0.2">
      <c r="B28" s="449">
        <v>22</v>
      </c>
      <c r="C28" s="550" t="s">
        <v>617</v>
      </c>
      <c r="D28" s="450" t="s">
        <v>968</v>
      </c>
      <c r="E28" s="455">
        <v>227757.36</v>
      </c>
      <c r="G28" s="441"/>
      <c r="H28" s="441"/>
    </row>
    <row r="29" spans="2:8" s="8" customFormat="1" x14ac:dyDescent="0.25">
      <c r="B29" s="449">
        <v>23</v>
      </c>
      <c r="C29" s="450" t="s">
        <v>951</v>
      </c>
      <c r="D29" s="450" t="s">
        <v>1030</v>
      </c>
      <c r="E29" s="455">
        <v>131455.94</v>
      </c>
      <c r="G29" s="441"/>
      <c r="H29" s="441"/>
    </row>
    <row r="30" spans="2:8" s="8" customFormat="1" x14ac:dyDescent="0.2">
      <c r="B30" s="449">
        <v>24</v>
      </c>
      <c r="C30" s="35" t="s">
        <v>1031</v>
      </c>
      <c r="D30" s="450" t="s">
        <v>969</v>
      </c>
      <c r="E30" s="455">
        <v>660707.82999999996</v>
      </c>
      <c r="G30" s="441"/>
      <c r="H30" s="441"/>
    </row>
    <row r="31" spans="2:8" s="8" customFormat="1" ht="21.75" customHeight="1" x14ac:dyDescent="0.25">
      <c r="B31" s="447"/>
      <c r="C31" s="447" t="s">
        <v>96</v>
      </c>
      <c r="D31" s="447"/>
      <c r="E31" s="448">
        <f>SUM(E7:E30)</f>
        <v>8267274.3200000003</v>
      </c>
      <c r="G31" s="441"/>
      <c r="H31" s="441"/>
    </row>
    <row r="34" spans="3:7" x14ac:dyDescent="0.2">
      <c r="E34" s="442"/>
    </row>
    <row r="36" spans="3:7" x14ac:dyDescent="0.2">
      <c r="C36" s="443"/>
    </row>
    <row r="47" spans="3:7" x14ac:dyDescent="0.2">
      <c r="G47" s="595"/>
    </row>
    <row r="48" spans="3:7" x14ac:dyDescent="0.2">
      <c r="G48" s="595"/>
    </row>
    <row r="49" spans="7:7" x14ac:dyDescent="0.2">
      <c r="G49" s="595"/>
    </row>
  </sheetData>
  <mergeCells count="2">
    <mergeCell ref="G47:G49"/>
    <mergeCell ref="B4:E4"/>
  </mergeCells>
  <pageMargins left="0.62992125984251968" right="0.23622047244094491" top="0.15748031496062992" bottom="0.15748031496062992" header="0.31496062992125984" footer="0.31496062992125984"/>
  <pageSetup paperSize="9" scale="9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E36"/>
  <sheetViews>
    <sheetView workbookViewId="0"/>
  </sheetViews>
  <sheetFormatPr defaultColWidth="17.42578125" defaultRowHeight="14.25" x14ac:dyDescent="0.2"/>
  <cols>
    <col min="1" max="2" width="6.7109375" style="1" customWidth="1"/>
    <col min="3" max="3" width="46.42578125" style="1" customWidth="1"/>
    <col min="4" max="4" width="13.42578125" style="1" customWidth="1"/>
    <col min="5" max="16384" width="17.42578125" style="1"/>
  </cols>
  <sheetData>
    <row r="1" spans="2:5" x14ac:dyDescent="0.2">
      <c r="B1" s="251"/>
      <c r="C1" s="251"/>
      <c r="D1" s="251"/>
    </row>
    <row r="2" spans="2:5" x14ac:dyDescent="0.2">
      <c r="B2" s="251"/>
      <c r="C2" s="251"/>
      <c r="D2" s="251"/>
    </row>
    <row r="3" spans="2:5" x14ac:dyDescent="0.2">
      <c r="B3" s="252"/>
      <c r="C3" s="251"/>
      <c r="D3" s="253" t="s">
        <v>158</v>
      </c>
    </row>
    <row r="4" spans="2:5" x14ac:dyDescent="0.2">
      <c r="B4" s="252"/>
      <c r="C4" s="251"/>
      <c r="D4" s="251"/>
    </row>
    <row r="5" spans="2:5" ht="32.25" customHeight="1" x14ac:dyDescent="0.2">
      <c r="B5" s="597" t="s">
        <v>653</v>
      </c>
      <c r="C5" s="597"/>
      <c r="D5" s="597"/>
    </row>
    <row r="6" spans="2:5" x14ac:dyDescent="0.2">
      <c r="B6" s="254"/>
      <c r="C6" s="255"/>
      <c r="D6" s="255"/>
    </row>
    <row r="7" spans="2:5" ht="29.25" customHeight="1" x14ac:dyDescent="0.2">
      <c r="B7" s="256" t="s">
        <v>151</v>
      </c>
      <c r="C7" s="257" t="s">
        <v>159</v>
      </c>
      <c r="D7" s="258" t="s">
        <v>463</v>
      </c>
    </row>
    <row r="8" spans="2:5" s="8" customFormat="1" x14ac:dyDescent="0.2">
      <c r="B8" s="259">
        <v>1</v>
      </c>
      <c r="C8" s="265" t="s">
        <v>636</v>
      </c>
      <c r="D8" s="319">
        <v>1410</v>
      </c>
      <c r="E8" s="260"/>
    </row>
    <row r="9" spans="2:5" s="8" customFormat="1" x14ac:dyDescent="0.2">
      <c r="B9" s="259">
        <v>2</v>
      </c>
      <c r="C9" s="266" t="s">
        <v>637</v>
      </c>
      <c r="D9" s="280">
        <v>331</v>
      </c>
      <c r="E9" s="260"/>
    </row>
    <row r="10" spans="2:5" s="8" customFormat="1" x14ac:dyDescent="0.2">
      <c r="B10" s="259">
        <v>3</v>
      </c>
      <c r="C10" s="266" t="s">
        <v>563</v>
      </c>
      <c r="D10" s="280">
        <v>1266</v>
      </c>
      <c r="E10" s="260"/>
    </row>
    <row r="11" spans="2:5" s="8" customFormat="1" x14ac:dyDescent="0.2">
      <c r="B11" s="259">
        <v>4</v>
      </c>
      <c r="C11" s="266" t="s">
        <v>578</v>
      </c>
      <c r="D11" s="280">
        <v>1853</v>
      </c>
      <c r="E11" s="260"/>
    </row>
    <row r="12" spans="2:5" s="8" customFormat="1" x14ac:dyDescent="0.2">
      <c r="B12" s="259">
        <v>5</v>
      </c>
      <c r="C12" s="266" t="s">
        <v>638</v>
      </c>
      <c r="D12" s="280">
        <v>1055</v>
      </c>
      <c r="E12" s="260"/>
    </row>
    <row r="13" spans="2:5" s="8" customFormat="1" x14ac:dyDescent="0.2">
      <c r="B13" s="259">
        <v>6</v>
      </c>
      <c r="C13" s="266" t="s">
        <v>639</v>
      </c>
      <c r="D13" s="280">
        <v>156</v>
      </c>
      <c r="E13" s="260"/>
    </row>
    <row r="14" spans="2:5" s="8" customFormat="1" x14ac:dyDescent="0.2">
      <c r="B14" s="259">
        <v>7</v>
      </c>
      <c r="C14" s="266" t="s">
        <v>640</v>
      </c>
      <c r="D14" s="280">
        <v>820</v>
      </c>
      <c r="E14" s="260"/>
    </row>
    <row r="15" spans="2:5" s="8" customFormat="1" x14ac:dyDescent="0.2">
      <c r="B15" s="259">
        <v>8</v>
      </c>
      <c r="C15" s="266" t="s">
        <v>641</v>
      </c>
      <c r="D15" s="280">
        <v>1170</v>
      </c>
      <c r="E15" s="260"/>
    </row>
    <row r="16" spans="2:5" s="8" customFormat="1" x14ac:dyDescent="0.2">
      <c r="B16" s="259">
        <v>9</v>
      </c>
      <c r="C16" s="266" t="s">
        <v>642</v>
      </c>
      <c r="D16" s="280">
        <v>919</v>
      </c>
      <c r="E16" s="261"/>
    </row>
    <row r="17" spans="2:5" s="8" customFormat="1" x14ac:dyDescent="0.2">
      <c r="B17" s="259">
        <v>10</v>
      </c>
      <c r="C17" s="266" t="s">
        <v>575</v>
      </c>
      <c r="D17" s="280">
        <v>1089</v>
      </c>
      <c r="E17" s="261"/>
    </row>
    <row r="18" spans="2:5" s="8" customFormat="1" x14ac:dyDescent="0.2">
      <c r="B18" s="259">
        <v>11</v>
      </c>
      <c r="C18" s="266" t="s">
        <v>477</v>
      </c>
      <c r="D18" s="280">
        <v>829</v>
      </c>
      <c r="E18" s="261"/>
    </row>
    <row r="19" spans="2:5" s="8" customFormat="1" x14ac:dyDescent="0.2">
      <c r="B19" s="259">
        <v>12</v>
      </c>
      <c r="C19" s="266" t="s">
        <v>643</v>
      </c>
      <c r="D19" s="280">
        <v>2280</v>
      </c>
      <c r="E19" s="262"/>
    </row>
    <row r="20" spans="2:5" s="8" customFormat="1" x14ac:dyDescent="0.2">
      <c r="B20" s="259">
        <v>13</v>
      </c>
      <c r="C20" s="266" t="s">
        <v>644</v>
      </c>
      <c r="D20" s="280">
        <v>730</v>
      </c>
      <c r="E20" s="262"/>
    </row>
    <row r="21" spans="2:5" s="8" customFormat="1" x14ac:dyDescent="0.2">
      <c r="B21" s="259">
        <v>14</v>
      </c>
      <c r="C21" s="266" t="s">
        <v>479</v>
      </c>
      <c r="D21" s="280">
        <v>2849</v>
      </c>
      <c r="E21" s="262"/>
    </row>
    <row r="22" spans="2:5" s="8" customFormat="1" x14ac:dyDescent="0.2">
      <c r="B22" s="259">
        <v>15</v>
      </c>
      <c r="C22" s="266" t="s">
        <v>645</v>
      </c>
      <c r="D22" s="280">
        <v>133</v>
      </c>
      <c r="E22" s="262"/>
    </row>
    <row r="23" spans="2:5" s="8" customFormat="1" x14ac:dyDescent="0.2">
      <c r="B23" s="259">
        <v>16</v>
      </c>
      <c r="C23" s="266" t="s">
        <v>487</v>
      </c>
      <c r="D23" s="280">
        <v>616</v>
      </c>
      <c r="E23" s="262"/>
    </row>
    <row r="24" spans="2:5" s="8" customFormat="1" x14ac:dyDescent="0.2">
      <c r="B24" s="259">
        <v>17</v>
      </c>
      <c r="C24" s="266" t="s">
        <v>552</v>
      </c>
      <c r="D24" s="280">
        <v>1695</v>
      </c>
      <c r="E24" s="262"/>
    </row>
    <row r="25" spans="2:5" s="8" customFormat="1" x14ac:dyDescent="0.2">
      <c r="B25" s="259">
        <v>18</v>
      </c>
      <c r="C25" s="266" t="s">
        <v>478</v>
      </c>
      <c r="D25" s="280">
        <v>1556</v>
      </c>
      <c r="E25" s="262"/>
    </row>
    <row r="26" spans="2:5" s="8" customFormat="1" x14ac:dyDescent="0.2">
      <c r="B26" s="259">
        <v>19</v>
      </c>
      <c r="C26" s="266" t="s">
        <v>646</v>
      </c>
      <c r="D26" s="280">
        <v>585</v>
      </c>
      <c r="E26" s="262"/>
    </row>
    <row r="27" spans="2:5" s="8" customFormat="1" x14ac:dyDescent="0.2">
      <c r="B27" s="259">
        <v>20</v>
      </c>
      <c r="C27" s="266" t="s">
        <v>647</v>
      </c>
      <c r="D27" s="280">
        <v>530</v>
      </c>
      <c r="E27" s="262"/>
    </row>
    <row r="28" spans="2:5" s="8" customFormat="1" x14ac:dyDescent="0.2">
      <c r="B28" s="259">
        <v>21</v>
      </c>
      <c r="C28" s="266" t="s">
        <v>648</v>
      </c>
      <c r="D28" s="280">
        <v>1505</v>
      </c>
      <c r="E28" s="262"/>
    </row>
    <row r="29" spans="2:5" s="8" customFormat="1" x14ac:dyDescent="0.2">
      <c r="B29" s="259">
        <v>22</v>
      </c>
      <c r="C29" s="266" t="s">
        <v>649</v>
      </c>
      <c r="D29" s="280">
        <v>1648</v>
      </c>
      <c r="E29" s="262"/>
    </row>
    <row r="30" spans="2:5" s="8" customFormat="1" x14ac:dyDescent="0.2">
      <c r="B30" s="259">
        <v>23</v>
      </c>
      <c r="C30" s="266" t="s">
        <v>650</v>
      </c>
      <c r="D30" s="280">
        <v>990</v>
      </c>
      <c r="E30" s="262"/>
    </row>
    <row r="31" spans="2:5" s="8" customFormat="1" x14ac:dyDescent="0.2">
      <c r="B31" s="259">
        <v>24</v>
      </c>
      <c r="C31" s="266" t="s">
        <v>486</v>
      </c>
      <c r="D31" s="280">
        <v>1870</v>
      </c>
      <c r="E31" s="262"/>
    </row>
    <row r="32" spans="2:5" s="8" customFormat="1" x14ac:dyDescent="0.2">
      <c r="B32" s="259">
        <v>25</v>
      </c>
      <c r="C32" s="266" t="s">
        <v>651</v>
      </c>
      <c r="D32" s="280">
        <v>1125</v>
      </c>
      <c r="E32" s="262"/>
    </row>
    <row r="33" spans="2:5" s="8" customFormat="1" x14ac:dyDescent="0.2">
      <c r="B33" s="259">
        <v>26</v>
      </c>
      <c r="C33" s="266" t="s">
        <v>564</v>
      </c>
      <c r="D33" s="280">
        <v>579</v>
      </c>
      <c r="E33" s="262"/>
    </row>
    <row r="34" spans="2:5" s="8" customFormat="1" x14ac:dyDescent="0.2">
      <c r="B34" s="259">
        <v>27</v>
      </c>
      <c r="C34" s="266" t="s">
        <v>652</v>
      </c>
      <c r="D34" s="280">
        <v>395</v>
      </c>
      <c r="E34" s="262"/>
    </row>
    <row r="35" spans="2:5" s="8" customFormat="1" x14ac:dyDescent="0.2">
      <c r="B35" s="259">
        <v>28</v>
      </c>
      <c r="C35" s="266" t="s">
        <v>553</v>
      </c>
      <c r="D35" s="280">
        <v>384</v>
      </c>
      <c r="E35" s="262"/>
    </row>
    <row r="36" spans="2:5" x14ac:dyDescent="0.2">
      <c r="B36" s="263"/>
      <c r="C36" s="264" t="s">
        <v>9</v>
      </c>
      <c r="D36" s="274">
        <f>SUM(D8:D35)</f>
        <v>30368</v>
      </c>
    </row>
  </sheetData>
  <mergeCells count="1">
    <mergeCell ref="B5:D5"/>
  </mergeCells>
  <pageMargins left="0.9055118110236221" right="0.43307086614173229" top="0.35433070866141736" bottom="0.15748031496062992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Počet_žiakov_a_tried</vt:lpstr>
      <vt:lpstr>Počet_zamest_ZŠ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zilkova</dc:creator>
  <cp:lastModifiedBy>Prnová Žilková Andrea, Ing.</cp:lastModifiedBy>
  <cp:lastPrinted>2024-05-07T11:37:52Z</cp:lastPrinted>
  <dcterms:created xsi:type="dcterms:W3CDTF">2012-02-23T12:08:44Z</dcterms:created>
  <dcterms:modified xsi:type="dcterms:W3CDTF">2024-05-09T10:39:25Z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