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4\Zmeny rozpočtu\Zmena rozpočtu MsZ_29052024\"/>
    </mc:Choice>
  </mc:AlternateContent>
  <xr:revisionPtr revIDLastSave="0" documentId="13_ncr:1_{9D4045D1-C909-4FE0-985D-9BFCEF8A26D0}" xr6:coauthVersionLast="47" xr6:coauthVersionMax="47" xr10:uidLastSave="{00000000-0000-0000-0000-000000000000}"/>
  <bookViews>
    <workbookView xWindow="-120" yWindow="-120" windowWidth="20730" windowHeight="11040" tabRatio="952" xr2:uid="{00000000-000D-0000-FFFF-FFFF00000000}"/>
  </bookViews>
  <sheets>
    <sheet name="Príjmy" sheetId="13" r:id="rId1"/>
    <sheet name="Výdavky" sheetId="14" r:id="rId2"/>
    <sheet name="Sumarizácia" sheetId="15" r:id="rId3"/>
    <sheet name="Rezervný fond" sheetId="16" r:id="rId4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Príjmy!$B$2:$G$360</definedName>
    <definedName name="_xlnm.Print_Area" localSheetId="2">Sumarizácia!$B$2:$N$35</definedName>
    <definedName name="_xlnm.Print_Area" localSheetId="1">Výdavky!$B$2:$S$1766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2" i="14" l="1"/>
  <c r="Q142" i="14"/>
  <c r="O142" i="14"/>
  <c r="K142" i="14"/>
  <c r="D8" i="16"/>
  <c r="D11" i="16"/>
  <c r="D17" i="16" s="1"/>
  <c r="M24" i="15"/>
  <c r="M27" i="15"/>
  <c r="M23" i="15" s="1"/>
  <c r="J1245" i="14"/>
  <c r="N139" i="14"/>
  <c r="Q144" i="14"/>
  <c r="R144" i="14"/>
  <c r="O144" i="14"/>
  <c r="S144" i="14" s="1"/>
  <c r="P1766" i="14"/>
  <c r="N1658" i="14"/>
  <c r="K1660" i="14"/>
  <c r="S142" i="14" l="1"/>
  <c r="K481" i="14"/>
  <c r="O481" i="14"/>
  <c r="Q481" i="14"/>
  <c r="R481" i="14"/>
  <c r="Q1275" i="14"/>
  <c r="R1275" i="14"/>
  <c r="Q1276" i="14"/>
  <c r="R1276" i="14"/>
  <c r="Q1277" i="14"/>
  <c r="R1277" i="14"/>
  <c r="Q1278" i="14"/>
  <c r="R1278" i="14"/>
  <c r="Q1279" i="14"/>
  <c r="R1279" i="14"/>
  <c r="Q1280" i="14"/>
  <c r="R1280" i="14"/>
  <c r="Q1281" i="14"/>
  <c r="R1281" i="14"/>
  <c r="Q1282" i="14"/>
  <c r="R1282" i="14"/>
  <c r="K775" i="14"/>
  <c r="Q677" i="14"/>
  <c r="R677" i="14"/>
  <c r="N358" i="14"/>
  <c r="M358" i="14"/>
  <c r="Q348" i="14"/>
  <c r="R348" i="14"/>
  <c r="Q807" i="14"/>
  <c r="R807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1513" i="14"/>
  <c r="Q1513" i="14"/>
  <c r="O1513" i="14"/>
  <c r="S1513" i="14" s="1"/>
  <c r="R1512" i="14"/>
  <c r="Q1512" i="14"/>
  <c r="O1512" i="14"/>
  <c r="S1512" i="14" s="1"/>
  <c r="R1511" i="14"/>
  <c r="Q1511" i="14"/>
  <c r="O1511" i="14"/>
  <c r="S1511" i="14" s="1"/>
  <c r="N1510" i="14"/>
  <c r="R1510" i="14" s="1"/>
  <c r="M1510" i="14"/>
  <c r="Q1510" i="14" s="1"/>
  <c r="K1510" i="14"/>
  <c r="G305" i="13"/>
  <c r="F304" i="13"/>
  <c r="F303" i="13" s="1"/>
  <c r="J773" i="14"/>
  <c r="J767" i="14"/>
  <c r="S481" i="14" l="1"/>
  <c r="O1510" i="14"/>
  <c r="S1510" i="14" s="1"/>
  <c r="E304" i="13"/>
  <c r="R46" i="14"/>
  <c r="O46" i="14"/>
  <c r="K46" i="14"/>
  <c r="J1455" i="14"/>
  <c r="K1459" i="14"/>
  <c r="O1459" i="14"/>
  <c r="Q1459" i="14"/>
  <c r="R1459" i="14"/>
  <c r="R984" i="14"/>
  <c r="Q984" i="14"/>
  <c r="O984" i="14"/>
  <c r="K984" i="14"/>
  <c r="N983" i="14"/>
  <c r="R983" i="14" s="1"/>
  <c r="M983" i="14"/>
  <c r="M982" i="14" s="1"/>
  <c r="Q982" i="14" s="1"/>
  <c r="K983" i="14"/>
  <c r="K982" i="14"/>
  <c r="R1014" i="14"/>
  <c r="Q1014" i="14"/>
  <c r="O1014" i="14"/>
  <c r="K1014" i="14"/>
  <c r="N1013" i="14"/>
  <c r="R1013" i="14" s="1"/>
  <c r="M1013" i="14"/>
  <c r="Q1013" i="14" s="1"/>
  <c r="K1013" i="14"/>
  <c r="K1012" i="14"/>
  <c r="R1003" i="14"/>
  <c r="Q1003" i="14"/>
  <c r="O1003" i="14"/>
  <c r="K1003" i="14"/>
  <c r="N1002" i="14"/>
  <c r="R1002" i="14" s="1"/>
  <c r="M1002" i="14"/>
  <c r="Q1002" i="14" s="1"/>
  <c r="K1002" i="14"/>
  <c r="K1001" i="14"/>
  <c r="R1033" i="14"/>
  <c r="Q1033" i="14"/>
  <c r="O1033" i="14"/>
  <c r="K1033" i="14"/>
  <c r="N1032" i="14"/>
  <c r="R1032" i="14" s="1"/>
  <c r="M1032" i="14"/>
  <c r="Q1032" i="14" s="1"/>
  <c r="K1032" i="14"/>
  <c r="K1031" i="14"/>
  <c r="J478" i="14"/>
  <c r="J477" i="14" s="1"/>
  <c r="I915" i="14"/>
  <c r="I914" i="14"/>
  <c r="I772" i="14"/>
  <c r="I770" i="14"/>
  <c r="I767" i="14"/>
  <c r="I766" i="14"/>
  <c r="K1277" i="14"/>
  <c r="S1277" i="14" s="1"/>
  <c r="K1278" i="14"/>
  <c r="S1278" i="14" s="1"/>
  <c r="K1279" i="14"/>
  <c r="S1279" i="14" s="1"/>
  <c r="K1280" i="14"/>
  <c r="S1280" i="14" s="1"/>
  <c r="K1276" i="14"/>
  <c r="S1276" i="14" s="1"/>
  <c r="K1281" i="14"/>
  <c r="S1281" i="14" s="1"/>
  <c r="K1282" i="14"/>
  <c r="S1282" i="14" s="1"/>
  <c r="K1275" i="14"/>
  <c r="S1275" i="14" s="1"/>
  <c r="I1273" i="14"/>
  <c r="I331" i="14"/>
  <c r="I329" i="14"/>
  <c r="E264" i="13"/>
  <c r="G265" i="13"/>
  <c r="Q50" i="14"/>
  <c r="R50" i="14"/>
  <c r="K50" i="14"/>
  <c r="S50" i="14" s="1"/>
  <c r="G292" i="13"/>
  <c r="E290" i="13"/>
  <c r="I1717" i="14"/>
  <c r="I1716" i="14"/>
  <c r="I1678" i="14"/>
  <c r="I1655" i="14"/>
  <c r="I1633" i="14"/>
  <c r="I1632" i="14"/>
  <c r="I1626" i="14"/>
  <c r="I1625" i="14"/>
  <c r="I1617" i="14"/>
  <c r="I1552" i="14"/>
  <c r="I1499" i="14"/>
  <c r="O1341" i="14"/>
  <c r="S1341" i="14" s="1"/>
  <c r="R1339" i="14"/>
  <c r="R1340" i="14"/>
  <c r="Q1341" i="14"/>
  <c r="R1341" i="14"/>
  <c r="M1340" i="14"/>
  <c r="O1340" i="14" s="1"/>
  <c r="S1340" i="14" s="1"/>
  <c r="N982" i="14" l="1"/>
  <c r="N974" i="14" s="1"/>
  <c r="O983" i="14"/>
  <c r="S983" i="14" s="1"/>
  <c r="S46" i="14"/>
  <c r="E303" i="13"/>
  <c r="G303" i="13" s="1"/>
  <c r="G304" i="13"/>
  <c r="Q46" i="14"/>
  <c r="Q983" i="14"/>
  <c r="S1459" i="14"/>
  <c r="M974" i="14"/>
  <c r="S1014" i="14"/>
  <c r="S984" i="14"/>
  <c r="N1012" i="14"/>
  <c r="N1001" i="14"/>
  <c r="M1012" i="14"/>
  <c r="O1013" i="14"/>
  <c r="S1013" i="14" s="1"/>
  <c r="M1001" i="14"/>
  <c r="M1031" i="14"/>
  <c r="N1031" i="14"/>
  <c r="S1003" i="14"/>
  <c r="O1002" i="14"/>
  <c r="S1002" i="14" s="1"/>
  <c r="S1033" i="14"/>
  <c r="O1032" i="14"/>
  <c r="S1032" i="14" s="1"/>
  <c r="Q1340" i="14"/>
  <c r="M1339" i="14"/>
  <c r="O1339" i="14" s="1"/>
  <c r="S1339" i="14" s="1"/>
  <c r="O982" i="14" l="1"/>
  <c r="S982" i="14" s="1"/>
  <c r="R982" i="14"/>
  <c r="Q1012" i="14"/>
  <c r="M1004" i="14"/>
  <c r="Q1001" i="14"/>
  <c r="M993" i="14"/>
  <c r="R1012" i="14"/>
  <c r="N1004" i="14"/>
  <c r="R1031" i="14"/>
  <c r="N1023" i="14"/>
  <c r="Q1031" i="14"/>
  <c r="M1023" i="14"/>
  <c r="R1001" i="14"/>
  <c r="N993" i="14"/>
  <c r="O1001" i="14"/>
  <c r="S1001" i="14" s="1"/>
  <c r="O1012" i="14"/>
  <c r="S1012" i="14" s="1"/>
  <c r="O1031" i="14"/>
  <c r="S1031" i="14" s="1"/>
  <c r="Q1339" i="14"/>
  <c r="M1330" i="14"/>
  <c r="N973" i="14" l="1"/>
  <c r="I1335" i="14"/>
  <c r="I1245" i="14"/>
  <c r="I1071" i="14"/>
  <c r="I951" i="14"/>
  <c r="I950" i="14"/>
  <c r="I877" i="14"/>
  <c r="I869" i="14"/>
  <c r="I868" i="14"/>
  <c r="I844" i="14"/>
  <c r="I843" i="14"/>
  <c r="I820" i="14"/>
  <c r="I819" i="14"/>
  <c r="I791" i="14"/>
  <c r="I790" i="14"/>
  <c r="I739" i="14"/>
  <c r="I738" i="14"/>
  <c r="I713" i="14"/>
  <c r="I712" i="14"/>
  <c r="I688" i="14"/>
  <c r="I687" i="14"/>
  <c r="I662" i="14"/>
  <c r="I661" i="14"/>
  <c r="I632" i="14"/>
  <c r="I631" i="14"/>
  <c r="I596" i="14"/>
  <c r="I588" i="14"/>
  <c r="I585" i="14"/>
  <c r="I582" i="14"/>
  <c r="I581" i="14"/>
  <c r="I552" i="14"/>
  <c r="I551" i="14"/>
  <c r="Q533" i="14"/>
  <c r="R533" i="14"/>
  <c r="K533" i="14"/>
  <c r="S533" i="14" s="1"/>
  <c r="I532" i="14"/>
  <c r="I512" i="14"/>
  <c r="I488" i="14"/>
  <c r="I484" i="14"/>
  <c r="I483" i="14"/>
  <c r="I478" i="14"/>
  <c r="I228" i="14"/>
  <c r="I227" i="14"/>
  <c r="I172" i="14"/>
  <c r="I170" i="14"/>
  <c r="E302" i="13"/>
  <c r="E295" i="13"/>
  <c r="E182" i="13"/>
  <c r="E176" i="13"/>
  <c r="E171" i="13"/>
  <c r="G160" i="13"/>
  <c r="E157" i="13"/>
  <c r="E156" i="13"/>
  <c r="Q1408" i="14"/>
  <c r="R1408" i="14"/>
  <c r="Q1409" i="14"/>
  <c r="R1409" i="14"/>
  <c r="Q1399" i="14"/>
  <c r="R1399" i="14"/>
  <c r="K1399" i="14"/>
  <c r="S1399" i="14" s="1"/>
  <c r="K1400" i="14"/>
  <c r="K1401" i="14"/>
  <c r="K1402" i="14"/>
  <c r="K1403" i="14"/>
  <c r="K1404" i="14"/>
  <c r="K1405" i="14"/>
  <c r="K1406" i="14"/>
  <c r="K1407" i="14"/>
  <c r="K1408" i="14"/>
  <c r="S1408" i="14" s="1"/>
  <c r="K1409" i="14"/>
  <c r="S1409" i="14" s="1"/>
  <c r="I1398" i="14"/>
  <c r="I1397" i="14" s="1"/>
  <c r="O443" i="14"/>
  <c r="S443" i="14" s="1"/>
  <c r="Q443" i="14"/>
  <c r="M436" i="14"/>
  <c r="R1309" i="14"/>
  <c r="Q1309" i="14"/>
  <c r="R1308" i="14"/>
  <c r="O1309" i="14"/>
  <c r="S1309" i="14" s="1"/>
  <c r="M1308" i="14"/>
  <c r="O1308" i="14" s="1"/>
  <c r="S1308" i="14" s="1"/>
  <c r="K1349" i="14"/>
  <c r="K1350" i="14"/>
  <c r="K1351" i="14"/>
  <c r="Q1349" i="14"/>
  <c r="R1349" i="14"/>
  <c r="O1349" i="14"/>
  <c r="M53" i="14"/>
  <c r="I1274" i="14"/>
  <c r="G286" i="13"/>
  <c r="R444" i="14"/>
  <c r="Q444" i="14"/>
  <c r="R1719" i="14"/>
  <c r="Q1720" i="14"/>
  <c r="R1720" i="14"/>
  <c r="O1720" i="14"/>
  <c r="S1720" i="14" s="1"/>
  <c r="M1719" i="14"/>
  <c r="O1719" i="14" s="1"/>
  <c r="S1719" i="14" s="1"/>
  <c r="E155" i="13" l="1"/>
  <c r="Q1308" i="14"/>
  <c r="S1349" i="14"/>
  <c r="Q1719" i="14"/>
  <c r="O444" i="14"/>
  <c r="S444" i="14" s="1"/>
  <c r="M1722" i="14" l="1"/>
  <c r="M1659" i="14"/>
  <c r="O1373" i="14"/>
  <c r="S1373" i="14" s="1"/>
  <c r="Q1373" i="14"/>
  <c r="M428" i="14"/>
  <c r="M141" i="14"/>
  <c r="R32" i="14"/>
  <c r="Q32" i="14"/>
  <c r="O32" i="14"/>
  <c r="K32" i="14"/>
  <c r="I37" i="14"/>
  <c r="I17" i="14"/>
  <c r="S32" i="14" l="1"/>
  <c r="F279" i="13" l="1"/>
  <c r="O430" i="14"/>
  <c r="S430" i="14" s="1"/>
  <c r="Q430" i="14"/>
  <c r="O427" i="14"/>
  <c r="S427" i="14" s="1"/>
  <c r="Q427" i="14"/>
  <c r="R725" i="14"/>
  <c r="Q725" i="14"/>
  <c r="O725" i="14"/>
  <c r="K725" i="14"/>
  <c r="N724" i="14"/>
  <c r="R724" i="14" s="1"/>
  <c r="M724" i="14"/>
  <c r="K724" i="14"/>
  <c r="K723" i="14"/>
  <c r="R517" i="14"/>
  <c r="Q517" i="14"/>
  <c r="O517" i="14"/>
  <c r="K517" i="14"/>
  <c r="N516" i="14"/>
  <c r="R516" i="14" s="1"/>
  <c r="M516" i="14"/>
  <c r="Q516" i="14" s="1"/>
  <c r="K516" i="14"/>
  <c r="K515" i="14"/>
  <c r="O440" i="14"/>
  <c r="S440" i="14" s="1"/>
  <c r="Q440" i="14"/>
  <c r="O439" i="14"/>
  <c r="S439" i="14" s="1"/>
  <c r="Q439" i="14"/>
  <c r="O438" i="14"/>
  <c r="S438" i="14" s="1"/>
  <c r="Q438" i="14"/>
  <c r="R314" i="14"/>
  <c r="Q314" i="14"/>
  <c r="O314" i="14"/>
  <c r="K314" i="14"/>
  <c r="N313" i="14"/>
  <c r="R313" i="14" s="1"/>
  <c r="M313" i="14"/>
  <c r="Q313" i="14" s="1"/>
  <c r="K313" i="14"/>
  <c r="N1525" i="14"/>
  <c r="Q1527" i="14"/>
  <c r="R1527" i="14"/>
  <c r="O1527" i="14"/>
  <c r="S1527" i="14" s="1"/>
  <c r="O402" i="14"/>
  <c r="S402" i="14" s="1"/>
  <c r="Q402" i="14"/>
  <c r="R402" i="14"/>
  <c r="N288" i="14"/>
  <c r="O288" i="14" s="1"/>
  <c r="N1442" i="14"/>
  <c r="O1444" i="14"/>
  <c r="S1444" i="14" s="1"/>
  <c r="Q1444" i="14"/>
  <c r="R1444" i="14"/>
  <c r="N1506" i="14"/>
  <c r="N1505" i="14" s="1"/>
  <c r="O1508" i="14"/>
  <c r="S1508" i="14" s="1"/>
  <c r="Q1508" i="14"/>
  <c r="R1508" i="14"/>
  <c r="Q160" i="14"/>
  <c r="R160" i="14"/>
  <c r="N28" i="15"/>
  <c r="O1660" i="14"/>
  <c r="S1660" i="14" s="1"/>
  <c r="Q1660" i="14"/>
  <c r="R1660" i="14"/>
  <c r="R1682" i="14"/>
  <c r="Q1682" i="14"/>
  <c r="O1682" i="14"/>
  <c r="K1682" i="14"/>
  <c r="N1681" i="14"/>
  <c r="R1681" i="14" s="1"/>
  <c r="M1681" i="14"/>
  <c r="K1681" i="14"/>
  <c r="N1685" i="14"/>
  <c r="Q1687" i="14"/>
  <c r="R1687" i="14"/>
  <c r="Q1688" i="14"/>
  <c r="R1688" i="14"/>
  <c r="O1687" i="14"/>
  <c r="S1687" i="14" s="1"/>
  <c r="O1688" i="14"/>
  <c r="S1688" i="14" s="1"/>
  <c r="O807" i="14"/>
  <c r="S807" i="14" s="1"/>
  <c r="N805" i="14"/>
  <c r="N675" i="14"/>
  <c r="O677" i="14"/>
  <c r="S677" i="14" s="1"/>
  <c r="N158" i="14"/>
  <c r="N157" i="14" s="1"/>
  <c r="O161" i="14"/>
  <c r="R286" i="14"/>
  <c r="Q286" i="14"/>
  <c r="O286" i="14"/>
  <c r="K286" i="14"/>
  <c r="N285" i="14"/>
  <c r="M285" i="14"/>
  <c r="Q285" i="14" s="1"/>
  <c r="K285" i="14"/>
  <c r="Q288" i="14"/>
  <c r="K288" i="14"/>
  <c r="M287" i="14"/>
  <c r="Q287" i="14" s="1"/>
  <c r="K287" i="14"/>
  <c r="S725" i="14" l="1"/>
  <c r="N723" i="14"/>
  <c r="N701" i="14" s="1"/>
  <c r="M515" i="14"/>
  <c r="Q515" i="14" s="1"/>
  <c r="O724" i="14"/>
  <c r="S724" i="14" s="1"/>
  <c r="Q724" i="14"/>
  <c r="M723" i="14"/>
  <c r="O516" i="14"/>
  <c r="S516" i="14" s="1"/>
  <c r="N515" i="14"/>
  <c r="S517" i="14"/>
  <c r="O313" i="14"/>
  <c r="S313" i="14" s="1"/>
  <c r="S314" i="14"/>
  <c r="R288" i="14"/>
  <c r="N287" i="14"/>
  <c r="R287" i="14" s="1"/>
  <c r="S1682" i="14"/>
  <c r="O1681" i="14"/>
  <c r="S1681" i="14" s="1"/>
  <c r="Q1681" i="14"/>
  <c r="S286" i="14"/>
  <c r="R285" i="14"/>
  <c r="O285" i="14"/>
  <c r="S285" i="14" s="1"/>
  <c r="S288" i="14"/>
  <c r="R158" i="14"/>
  <c r="O160" i="14"/>
  <c r="S160" i="14" s="1"/>
  <c r="R159" i="14"/>
  <c r="Q159" i="14"/>
  <c r="O159" i="14"/>
  <c r="K159" i="14"/>
  <c r="M158" i="14"/>
  <c r="Q158" i="14" s="1"/>
  <c r="K158" i="14"/>
  <c r="K157" i="14"/>
  <c r="R601" i="14"/>
  <c r="Q601" i="14"/>
  <c r="O601" i="14"/>
  <c r="K601" i="14"/>
  <c r="N600" i="14"/>
  <c r="R600" i="14" s="1"/>
  <c r="M600" i="14"/>
  <c r="Q600" i="14" s="1"/>
  <c r="K600" i="14"/>
  <c r="K599" i="14"/>
  <c r="R723" i="14" l="1"/>
  <c r="O723" i="14"/>
  <c r="S723" i="14" s="1"/>
  <c r="Q723" i="14"/>
  <c r="R515" i="14"/>
  <c r="N506" i="14"/>
  <c r="O515" i="14"/>
  <c r="S515" i="14" s="1"/>
  <c r="O287" i="14"/>
  <c r="S287" i="14" s="1"/>
  <c r="S159" i="14"/>
  <c r="R157" i="14"/>
  <c r="M157" i="14"/>
  <c r="Q157" i="14" s="1"/>
  <c r="O158" i="14"/>
  <c r="S158" i="14" s="1"/>
  <c r="N599" i="14"/>
  <c r="S601" i="14"/>
  <c r="M599" i="14"/>
  <c r="O600" i="14"/>
  <c r="S600" i="14" s="1"/>
  <c r="O157" i="14" l="1"/>
  <c r="S157" i="14" s="1"/>
  <c r="N145" i="14"/>
  <c r="R599" i="14"/>
  <c r="N590" i="14"/>
  <c r="Q599" i="14"/>
  <c r="O599" i="14"/>
  <c r="S599" i="14" s="1"/>
  <c r="J1442" i="14" l="1"/>
  <c r="J1441" i="14" s="1"/>
  <c r="J1504" i="14"/>
  <c r="J345" i="14" l="1"/>
  <c r="K348" i="14"/>
  <c r="S348" i="14" s="1"/>
  <c r="G344" i="13" l="1"/>
  <c r="G349" i="13"/>
  <c r="F322" i="13"/>
  <c r="F321" i="13" s="1"/>
  <c r="G348" i="13"/>
  <c r="G330" i="13"/>
  <c r="G342" i="13"/>
  <c r="G341" i="13"/>
  <c r="G278" i="13"/>
  <c r="F277" i="13"/>
  <c r="E277" i="13"/>
  <c r="J748" i="14"/>
  <c r="J649" i="14"/>
  <c r="I964" i="14"/>
  <c r="Q964" i="14" s="1"/>
  <c r="R965" i="14"/>
  <c r="O965" i="14"/>
  <c r="K965" i="14"/>
  <c r="Q965" i="14"/>
  <c r="O964" i="14"/>
  <c r="G322" i="13" l="1"/>
  <c r="S965" i="14"/>
  <c r="K851" i="14" l="1"/>
  <c r="O851" i="14"/>
  <c r="Q851" i="14"/>
  <c r="R851" i="14"/>
  <c r="K829" i="14"/>
  <c r="O829" i="14"/>
  <c r="Q829" i="14"/>
  <c r="R829" i="14"/>
  <c r="K801" i="14"/>
  <c r="O801" i="14"/>
  <c r="Q801" i="14"/>
  <c r="R801" i="14"/>
  <c r="Q775" i="14"/>
  <c r="R775" i="14"/>
  <c r="S775" i="14"/>
  <c r="O748" i="14"/>
  <c r="Q748" i="14"/>
  <c r="R748" i="14"/>
  <c r="K748" i="14"/>
  <c r="K722" i="14"/>
  <c r="O722" i="14"/>
  <c r="Q722" i="14"/>
  <c r="R722" i="14"/>
  <c r="K697" i="14"/>
  <c r="O697" i="14"/>
  <c r="Q697" i="14"/>
  <c r="R697" i="14"/>
  <c r="O671" i="14"/>
  <c r="Q671" i="14"/>
  <c r="R671" i="14"/>
  <c r="K671" i="14"/>
  <c r="J644" i="14"/>
  <c r="O649" i="14"/>
  <c r="Q649" i="14"/>
  <c r="R649" i="14"/>
  <c r="K649" i="14"/>
  <c r="Q475" i="14"/>
  <c r="R475" i="14"/>
  <c r="K475" i="14"/>
  <c r="S475" i="14" s="1"/>
  <c r="O480" i="14"/>
  <c r="Q480" i="14"/>
  <c r="R480" i="14"/>
  <c r="K480" i="14"/>
  <c r="N831" i="14"/>
  <c r="O833" i="14"/>
  <c r="S833" i="14" s="1"/>
  <c r="Q833" i="14"/>
  <c r="R833" i="14"/>
  <c r="M1301" i="14"/>
  <c r="M1300" i="14" s="1"/>
  <c r="R1302" i="14"/>
  <c r="Q1302" i="14"/>
  <c r="O1302" i="14"/>
  <c r="K1302" i="14"/>
  <c r="K1301" i="14"/>
  <c r="K1300" i="14"/>
  <c r="K1297" i="14"/>
  <c r="O1297" i="14"/>
  <c r="Q1297" i="14"/>
  <c r="R1297" i="14"/>
  <c r="O646" i="14"/>
  <c r="Q646" i="14"/>
  <c r="R646" i="14"/>
  <c r="K646" i="14"/>
  <c r="S801" i="14" l="1"/>
  <c r="S829" i="14"/>
  <c r="S851" i="14"/>
  <c r="S748" i="14"/>
  <c r="S722" i="14"/>
  <c r="S697" i="14"/>
  <c r="S671" i="14"/>
  <c r="S1297" i="14"/>
  <c r="S1302" i="14"/>
  <c r="S480" i="14"/>
  <c r="S649" i="14"/>
  <c r="Q1300" i="14"/>
  <c r="Q1301" i="14"/>
  <c r="S646" i="14"/>
  <c r="R210" i="14"/>
  <c r="K210" i="14"/>
  <c r="S210" i="14" s="1"/>
  <c r="Q210" i="14"/>
  <c r="N27" i="15"/>
  <c r="J792" i="14" l="1"/>
  <c r="R793" i="14"/>
  <c r="Q793" i="14"/>
  <c r="O793" i="14"/>
  <c r="K793" i="14"/>
  <c r="J782" i="14"/>
  <c r="O783" i="14"/>
  <c r="Q783" i="14"/>
  <c r="R783" i="14"/>
  <c r="K783" i="14"/>
  <c r="R1133" i="14"/>
  <c r="Q1133" i="14"/>
  <c r="O1133" i="14"/>
  <c r="K1133" i="14"/>
  <c r="N1132" i="14"/>
  <c r="R1132" i="14" s="1"/>
  <c r="M1132" i="14"/>
  <c r="K1132" i="14"/>
  <c r="K1131" i="14"/>
  <c r="N752" i="14"/>
  <c r="O754" i="14"/>
  <c r="S754" i="14" s="1"/>
  <c r="Q754" i="14"/>
  <c r="R754" i="14"/>
  <c r="R1172" i="14"/>
  <c r="Q1172" i="14"/>
  <c r="O1172" i="14"/>
  <c r="K1172" i="14"/>
  <c r="N1171" i="14"/>
  <c r="R1171" i="14" s="1"/>
  <c r="M1171" i="14"/>
  <c r="Q1171" i="14" s="1"/>
  <c r="K1171" i="14"/>
  <c r="K1170" i="14"/>
  <c r="J779" i="14" l="1"/>
  <c r="S1172" i="14"/>
  <c r="S1133" i="14"/>
  <c r="O1132" i="14"/>
  <c r="S1132" i="14" s="1"/>
  <c r="S793" i="14"/>
  <c r="N1131" i="14"/>
  <c r="N1116" i="14" s="1"/>
  <c r="S783" i="14"/>
  <c r="Q1132" i="14"/>
  <c r="M1131" i="14"/>
  <c r="N1170" i="14"/>
  <c r="R1170" i="14" s="1"/>
  <c r="M1170" i="14"/>
  <c r="Q1170" i="14" s="1"/>
  <c r="O1171" i="14"/>
  <c r="S1171" i="14" s="1"/>
  <c r="F230" i="13"/>
  <c r="F146" i="13"/>
  <c r="G148" i="13"/>
  <c r="F249" i="13"/>
  <c r="G251" i="13"/>
  <c r="F241" i="13"/>
  <c r="G243" i="13"/>
  <c r="F233" i="13"/>
  <c r="G235" i="13"/>
  <c r="F223" i="13"/>
  <c r="G225" i="13"/>
  <c r="F207" i="13"/>
  <c r="G209" i="13"/>
  <c r="F199" i="13"/>
  <c r="G201" i="13"/>
  <c r="R1131" i="14" l="1"/>
  <c r="O1131" i="14"/>
  <c r="S1131" i="14" s="1"/>
  <c r="Q1131" i="14"/>
  <c r="N1151" i="14"/>
  <c r="N963" i="14" s="1"/>
  <c r="O1170" i="14"/>
  <c r="S1170" i="14" s="1"/>
  <c r="G231" i="13"/>
  <c r="E230" i="13"/>
  <c r="G149" i="13"/>
  <c r="F219" i="13"/>
  <c r="F212" i="13" s="1"/>
  <c r="G221" i="13"/>
  <c r="G220" i="13"/>
  <c r="E219" i="13"/>
  <c r="G219" i="13" l="1"/>
  <c r="N34" i="15" l="1"/>
  <c r="N33" i="15"/>
  <c r="N29" i="15"/>
  <c r="N26" i="15"/>
  <c r="N25" i="15"/>
  <c r="N19" i="15"/>
  <c r="N18" i="15"/>
  <c r="J18" i="15"/>
  <c r="M32" i="15"/>
  <c r="I7" i="15"/>
  <c r="R1749" i="14"/>
  <c r="R1750" i="14"/>
  <c r="R1751" i="14"/>
  <c r="R1753" i="14"/>
  <c r="R1756" i="14"/>
  <c r="R1757" i="14"/>
  <c r="R1759" i="14"/>
  <c r="R1760" i="14"/>
  <c r="R1762" i="14"/>
  <c r="R1763" i="14"/>
  <c r="R1764" i="14"/>
  <c r="R1765" i="14"/>
  <c r="O1756" i="14"/>
  <c r="O1753" i="14"/>
  <c r="O1752" i="14"/>
  <c r="O1751" i="14"/>
  <c r="O1750" i="14"/>
  <c r="O1749" i="14"/>
  <c r="O1748" i="14"/>
  <c r="N1755" i="14"/>
  <c r="N1754" i="14" s="1"/>
  <c r="N1747" i="14" s="1"/>
  <c r="N1746" i="14" s="1"/>
  <c r="N1745" i="14" s="1"/>
  <c r="I17" i="15" s="1"/>
  <c r="K1757" i="14"/>
  <c r="S1757" i="14" s="1"/>
  <c r="K1756" i="14"/>
  <c r="K1755" i="14"/>
  <c r="K1754" i="14"/>
  <c r="K1753" i="14"/>
  <c r="K1751" i="14"/>
  <c r="K1750" i="14"/>
  <c r="K1749" i="14"/>
  <c r="J1748" i="14"/>
  <c r="R1748" i="14" s="1"/>
  <c r="J1752" i="14"/>
  <c r="R1752" i="14" s="1"/>
  <c r="J1761" i="14"/>
  <c r="R1761" i="14" s="1"/>
  <c r="R1572" i="14"/>
  <c r="R1574" i="14"/>
  <c r="R1575" i="14"/>
  <c r="R1577" i="14"/>
  <c r="R1578" i="14"/>
  <c r="R1579" i="14"/>
  <c r="R1580" i="14"/>
  <c r="R1581" i="14"/>
  <c r="R1584" i="14"/>
  <c r="R1585" i="14"/>
  <c r="R1587" i="14"/>
  <c r="R1588" i="14"/>
  <c r="R1589" i="14"/>
  <c r="R1592" i="14"/>
  <c r="R1593" i="14"/>
  <c r="R1596" i="14"/>
  <c r="R1597" i="14"/>
  <c r="R1598" i="14"/>
  <c r="R1599" i="14"/>
  <c r="R1600" i="14"/>
  <c r="R1601" i="14"/>
  <c r="R1603" i="14"/>
  <c r="R1606" i="14"/>
  <c r="R1607" i="14"/>
  <c r="R1611" i="14"/>
  <c r="R1612" i="14"/>
  <c r="R1614" i="14"/>
  <c r="R1615" i="14"/>
  <c r="R1616" i="14"/>
  <c r="R1617" i="14"/>
  <c r="R1618" i="14"/>
  <c r="R1619" i="14"/>
  <c r="R1622" i="14"/>
  <c r="R1625" i="14"/>
  <c r="R1626" i="14"/>
  <c r="R1628" i="14"/>
  <c r="R1629" i="14"/>
  <c r="R1630" i="14"/>
  <c r="R1631" i="14"/>
  <c r="R1632" i="14"/>
  <c r="R1633" i="14"/>
  <c r="R1634" i="14"/>
  <c r="R1638" i="14"/>
  <c r="R1639" i="14"/>
  <c r="R1640" i="14"/>
  <c r="R1642" i="14"/>
  <c r="R1643" i="14"/>
  <c r="R1646" i="14"/>
  <c r="R1647" i="14"/>
  <c r="R1649" i="14"/>
  <c r="R1650" i="14"/>
  <c r="R1651" i="14"/>
  <c r="R1652" i="14"/>
  <c r="R1653" i="14"/>
  <c r="R1654" i="14"/>
  <c r="R1655" i="14"/>
  <c r="R1656" i="14"/>
  <c r="R1659" i="14"/>
  <c r="R1663" i="14"/>
  <c r="R1664" i="14"/>
  <c r="R1665" i="14"/>
  <c r="R1666" i="14"/>
  <c r="R1669" i="14"/>
  <c r="R1670" i="14"/>
  <c r="R1672" i="14"/>
  <c r="R1673" i="14"/>
  <c r="R1674" i="14"/>
  <c r="R1675" i="14"/>
  <c r="R1676" i="14"/>
  <c r="R1677" i="14"/>
  <c r="R1678" i="14"/>
  <c r="R1679" i="14"/>
  <c r="R1684" i="14"/>
  <c r="R1686" i="14"/>
  <c r="R1691" i="14"/>
  <c r="R1692" i="14"/>
  <c r="R1694" i="14"/>
  <c r="R1695" i="14"/>
  <c r="R1696" i="14"/>
  <c r="R1697" i="14"/>
  <c r="R1698" i="14"/>
  <c r="R1699" i="14"/>
  <c r="R1702" i="14"/>
  <c r="R1705" i="14"/>
  <c r="R1707" i="14"/>
  <c r="R1710" i="14"/>
  <c r="R1711" i="14"/>
  <c r="R1713" i="14"/>
  <c r="R1714" i="14"/>
  <c r="R1715" i="14"/>
  <c r="R1716" i="14"/>
  <c r="R1717" i="14"/>
  <c r="R1722" i="14"/>
  <c r="R1725" i="14"/>
  <c r="R1726" i="14"/>
  <c r="R1728" i="14"/>
  <c r="R1729" i="14"/>
  <c r="R1730" i="14"/>
  <c r="R1731" i="14"/>
  <c r="R1732" i="14"/>
  <c r="R1733" i="14"/>
  <c r="R1734" i="14"/>
  <c r="R1735" i="14"/>
  <c r="O1735" i="14"/>
  <c r="O1734" i="14"/>
  <c r="O1733" i="14"/>
  <c r="O1732" i="14"/>
  <c r="O1731" i="14"/>
  <c r="O1730" i="14"/>
  <c r="O1729" i="14"/>
  <c r="O1728" i="14"/>
  <c r="O1727" i="14"/>
  <c r="O1726" i="14"/>
  <c r="O1725" i="14"/>
  <c r="O1724" i="14"/>
  <c r="O1723" i="14"/>
  <c r="O1722" i="14"/>
  <c r="O1717" i="14"/>
  <c r="O1716" i="14"/>
  <c r="O1715" i="14"/>
  <c r="O1714" i="14"/>
  <c r="O1713" i="14"/>
  <c r="O1712" i="14"/>
  <c r="O1711" i="14"/>
  <c r="O1710" i="14"/>
  <c r="O1707" i="14"/>
  <c r="O1706" i="14"/>
  <c r="O1705" i="14"/>
  <c r="O1704" i="14"/>
  <c r="O1703" i="14"/>
  <c r="O1702" i="14"/>
  <c r="O1701" i="14"/>
  <c r="O1700" i="14"/>
  <c r="O1699" i="14"/>
  <c r="O1698" i="14"/>
  <c r="O1697" i="14"/>
  <c r="O1696" i="14"/>
  <c r="O1695" i="14"/>
  <c r="O1694" i="14"/>
  <c r="O1693" i="14"/>
  <c r="O1692" i="14"/>
  <c r="O1691" i="14"/>
  <c r="O1690" i="14"/>
  <c r="O1689" i="14"/>
  <c r="O1686" i="14"/>
  <c r="O1684" i="14"/>
  <c r="O1679" i="14"/>
  <c r="O1678" i="14"/>
  <c r="O1677" i="14"/>
  <c r="O1676" i="14"/>
  <c r="O1675" i="14"/>
  <c r="O1674" i="14"/>
  <c r="O1673" i="14"/>
  <c r="O1672" i="14"/>
  <c r="O1671" i="14"/>
  <c r="O1670" i="14"/>
  <c r="O1669" i="14"/>
  <c r="O1666" i="14"/>
  <c r="O1665" i="14"/>
  <c r="O1664" i="14"/>
  <c r="O1663" i="14"/>
  <c r="O1662" i="14"/>
  <c r="O1661" i="14"/>
  <c r="O1659" i="14"/>
  <c r="O1656" i="14"/>
  <c r="O1655" i="14"/>
  <c r="O1654" i="14"/>
  <c r="O1653" i="14"/>
  <c r="O1652" i="14"/>
  <c r="O1651" i="14"/>
  <c r="O1650" i="14"/>
  <c r="O1649" i="14"/>
  <c r="O1648" i="14"/>
  <c r="O1647" i="14"/>
  <c r="O1646" i="14"/>
  <c r="O1643" i="14"/>
  <c r="O1642" i="14"/>
  <c r="O1641" i="14"/>
  <c r="O1640" i="14"/>
  <c r="O1639" i="14"/>
  <c r="O1638" i="14"/>
  <c r="O1637" i="14"/>
  <c r="O1636" i="14"/>
  <c r="O1634" i="14"/>
  <c r="O1633" i="14"/>
  <c r="O1632" i="14"/>
  <c r="O1631" i="14"/>
  <c r="O1630" i="14"/>
  <c r="O1629" i="14"/>
  <c r="O1628" i="14"/>
  <c r="O1627" i="14"/>
  <c r="O1626" i="14"/>
  <c r="O1625" i="14"/>
  <c r="O1624" i="14"/>
  <c r="O1623" i="14"/>
  <c r="O1622" i="14"/>
  <c r="O1619" i="14"/>
  <c r="O1618" i="14"/>
  <c r="O1617" i="14"/>
  <c r="O1616" i="14"/>
  <c r="O1615" i="14"/>
  <c r="O1614" i="14"/>
  <c r="O1613" i="14"/>
  <c r="O1612" i="14"/>
  <c r="O1611" i="14"/>
  <c r="O1609" i="14"/>
  <c r="O1607" i="14"/>
  <c r="O1606" i="14"/>
  <c r="O1605" i="14"/>
  <c r="O1604" i="14"/>
  <c r="O1603" i="14"/>
  <c r="O1602" i="14"/>
  <c r="O1601" i="14"/>
  <c r="O1600" i="14"/>
  <c r="O1599" i="14"/>
  <c r="O1598" i="14"/>
  <c r="O1597" i="14"/>
  <c r="O1596" i="14"/>
  <c r="O1595" i="14"/>
  <c r="O1594" i="14"/>
  <c r="O1593" i="14"/>
  <c r="O1592" i="14"/>
  <c r="O1591" i="14"/>
  <c r="O1590" i="14"/>
  <c r="O1589" i="14"/>
  <c r="O1588" i="14"/>
  <c r="O1587" i="14"/>
  <c r="O1586" i="14"/>
  <c r="O1585" i="14"/>
  <c r="O1584" i="14"/>
  <c r="O1583" i="14"/>
  <c r="O1582" i="14"/>
  <c r="O1581" i="14"/>
  <c r="O1580" i="14"/>
  <c r="O1579" i="14"/>
  <c r="O1578" i="14"/>
  <c r="O1577" i="14"/>
  <c r="O1576" i="14"/>
  <c r="O1575" i="14"/>
  <c r="O1574" i="14"/>
  <c r="O1573" i="14"/>
  <c r="O1572" i="14"/>
  <c r="S1572" i="14" s="1"/>
  <c r="N1571" i="14"/>
  <c r="N1621" i="14"/>
  <c r="N1657" i="14"/>
  <c r="N1683" i="14"/>
  <c r="N1721" i="14"/>
  <c r="N1718" i="14" s="1"/>
  <c r="N1709" i="14" s="1"/>
  <c r="N1708" i="14" s="1"/>
  <c r="K1735" i="14"/>
  <c r="K1733" i="14"/>
  <c r="K1732" i="14"/>
  <c r="K1731" i="14"/>
  <c r="K1730" i="14"/>
  <c r="K1729" i="14"/>
  <c r="K1728" i="14"/>
  <c r="K1722" i="14"/>
  <c r="K1721" i="14"/>
  <c r="K1718" i="14"/>
  <c r="K1707" i="14"/>
  <c r="K1705" i="14"/>
  <c r="K1698" i="14"/>
  <c r="K1697" i="14"/>
  <c r="K1695" i="14"/>
  <c r="K1694" i="14"/>
  <c r="K1686" i="14"/>
  <c r="K1685" i="14"/>
  <c r="K1684" i="14"/>
  <c r="K1683" i="14"/>
  <c r="K1680" i="14"/>
  <c r="K1679" i="14"/>
  <c r="K1678" i="14"/>
  <c r="K1677" i="14"/>
  <c r="K1676" i="14"/>
  <c r="K1675" i="14"/>
  <c r="K1674" i="14"/>
  <c r="K1673" i="14"/>
  <c r="K1672" i="14"/>
  <c r="K1666" i="14"/>
  <c r="K1665" i="14"/>
  <c r="K1664" i="14"/>
  <c r="K1663" i="14"/>
  <c r="K1659" i="14"/>
  <c r="K1658" i="14"/>
  <c r="K1657" i="14"/>
  <c r="K1655" i="14"/>
  <c r="K1654" i="14"/>
  <c r="K1653" i="14"/>
  <c r="K1652" i="14"/>
  <c r="K1651" i="14"/>
  <c r="K1650" i="14"/>
  <c r="K1649" i="14"/>
  <c r="K1647" i="14"/>
  <c r="K1646" i="14"/>
  <c r="K1643" i="14"/>
  <c r="K1642" i="14"/>
  <c r="K1640" i="14"/>
  <c r="K1639" i="14"/>
  <c r="K1638" i="14"/>
  <c r="K1634" i="14"/>
  <c r="K1633" i="14"/>
  <c r="K1632" i="14"/>
  <c r="K1631" i="14"/>
  <c r="K1630" i="14"/>
  <c r="K1629" i="14"/>
  <c r="K1628" i="14"/>
  <c r="K1622" i="14"/>
  <c r="K1621" i="14"/>
  <c r="K1620" i="14"/>
  <c r="K1618" i="14"/>
  <c r="K1616" i="14"/>
  <c r="K1615" i="14"/>
  <c r="K1607" i="14"/>
  <c r="K1603" i="14"/>
  <c r="K1601" i="14"/>
  <c r="K1600" i="14"/>
  <c r="K1599" i="14"/>
  <c r="K1598" i="14"/>
  <c r="K1597" i="14"/>
  <c r="K1596" i="14"/>
  <c r="K1593" i="14"/>
  <c r="K1592" i="14"/>
  <c r="K1588" i="14"/>
  <c r="K1587" i="14"/>
  <c r="K1581" i="14"/>
  <c r="K1580" i="14"/>
  <c r="K1579" i="14"/>
  <c r="K1578" i="14"/>
  <c r="K1577" i="14"/>
  <c r="K1575" i="14"/>
  <c r="K1574" i="14"/>
  <c r="K1572" i="14"/>
  <c r="K1571" i="14"/>
  <c r="K1570" i="14"/>
  <c r="J1576" i="14"/>
  <c r="J1573" i="14" s="1"/>
  <c r="J1586" i="14"/>
  <c r="R1586" i="14" s="1"/>
  <c r="J1591" i="14"/>
  <c r="J1595" i="14"/>
  <c r="R1595" i="14" s="1"/>
  <c r="J1602" i="14"/>
  <c r="J1605" i="14"/>
  <c r="J1613" i="14"/>
  <c r="R1613" i="14" s="1"/>
  <c r="J1627" i="14"/>
  <c r="R1627" i="14" s="1"/>
  <c r="J1637" i="14"/>
  <c r="R1637" i="14" s="1"/>
  <c r="J1641" i="14"/>
  <c r="R1641" i="14" s="1"/>
  <c r="J1648" i="14"/>
  <c r="J1645" i="14" s="1"/>
  <c r="J1662" i="14"/>
  <c r="J1671" i="14"/>
  <c r="R1671" i="14" s="1"/>
  <c r="J1693" i="14"/>
  <c r="R1693" i="14" s="1"/>
  <c r="J1701" i="14"/>
  <c r="J1700" i="14" s="1"/>
  <c r="R1700" i="14" s="1"/>
  <c r="J1704" i="14"/>
  <c r="R1704" i="14" s="1"/>
  <c r="J1706" i="14"/>
  <c r="R1706" i="14" s="1"/>
  <c r="J1712" i="14"/>
  <c r="R1712" i="14" s="1"/>
  <c r="J1727" i="14"/>
  <c r="R1727" i="14" s="1"/>
  <c r="R1471" i="14"/>
  <c r="R1474" i="14"/>
  <c r="R1476" i="14"/>
  <c r="R1477" i="14"/>
  <c r="R1480" i="14"/>
  <c r="R1481" i="14"/>
  <c r="R1483" i="14"/>
  <c r="R1484" i="14"/>
  <c r="R1485" i="14"/>
  <c r="R1486" i="14"/>
  <c r="R1487" i="14"/>
  <c r="R1488" i="14"/>
  <c r="R1489" i="14"/>
  <c r="R1491" i="14"/>
  <c r="R1492" i="14"/>
  <c r="R1494" i="14"/>
  <c r="R1495" i="14"/>
  <c r="R1496" i="14"/>
  <c r="R1497" i="14"/>
  <c r="R1498" i="14"/>
  <c r="R1499" i="14"/>
  <c r="R1503" i="14"/>
  <c r="R1504" i="14"/>
  <c r="R1507" i="14"/>
  <c r="R1509" i="14"/>
  <c r="R1516" i="14"/>
  <c r="R1519" i="14"/>
  <c r="R1520" i="14"/>
  <c r="R1522" i="14"/>
  <c r="R1523" i="14"/>
  <c r="R1526" i="14"/>
  <c r="R1530" i="14"/>
  <c r="R1533" i="14"/>
  <c r="R1537" i="14"/>
  <c r="R1538" i="14"/>
  <c r="R1539" i="14"/>
  <c r="R1540" i="14"/>
  <c r="R1543" i="14"/>
  <c r="R1544" i="14"/>
  <c r="R1546" i="14"/>
  <c r="R1547" i="14"/>
  <c r="R1548" i="14"/>
  <c r="R1549" i="14"/>
  <c r="R1550" i="14"/>
  <c r="R1551" i="14"/>
  <c r="R1552" i="14"/>
  <c r="R1555" i="14"/>
  <c r="R1556" i="14"/>
  <c r="R1558" i="14"/>
  <c r="O1558" i="14"/>
  <c r="O1556" i="14"/>
  <c r="O1555" i="14"/>
  <c r="O1552" i="14"/>
  <c r="O1551" i="14"/>
  <c r="O1550" i="14"/>
  <c r="O1549" i="14"/>
  <c r="O1548" i="14"/>
  <c r="O1547" i="14"/>
  <c r="O1546" i="14"/>
  <c r="O1545" i="14"/>
  <c r="O1544" i="14"/>
  <c r="O1543" i="14"/>
  <c r="O1540" i="14"/>
  <c r="O1539" i="14"/>
  <c r="O1538" i="14"/>
  <c r="O1537" i="14"/>
  <c r="O1536" i="14"/>
  <c r="O1535" i="14"/>
  <c r="O1534" i="14"/>
  <c r="O1533" i="14"/>
  <c r="O1532" i="14"/>
  <c r="O1531" i="14"/>
  <c r="O1530" i="14"/>
  <c r="O1529" i="14"/>
  <c r="O1528" i="14"/>
  <c r="O1526" i="14"/>
  <c r="O1523" i="14"/>
  <c r="O1522" i="14"/>
  <c r="O1521" i="14"/>
  <c r="O1520" i="14"/>
  <c r="O1519" i="14"/>
  <c r="O1518" i="14"/>
  <c r="O1516" i="14"/>
  <c r="O1515" i="14"/>
  <c r="O1514" i="14"/>
  <c r="O1509" i="14"/>
  <c r="O1507" i="14"/>
  <c r="O1504" i="14"/>
  <c r="O1503" i="14"/>
  <c r="O1502" i="14"/>
  <c r="O1499" i="14"/>
  <c r="O1498" i="14"/>
  <c r="O1497" i="14"/>
  <c r="O1496" i="14"/>
  <c r="O1495" i="14"/>
  <c r="O1494" i="14"/>
  <c r="O1493" i="14"/>
  <c r="O1492" i="14"/>
  <c r="O1491" i="14"/>
  <c r="O1490" i="14"/>
  <c r="O1489" i="14"/>
  <c r="O1488" i="14"/>
  <c r="O1487" i="14"/>
  <c r="O1486" i="14"/>
  <c r="O1485" i="14"/>
  <c r="O1484" i="14"/>
  <c r="O1483" i="14"/>
  <c r="O1482" i="14"/>
  <c r="O1481" i="14"/>
  <c r="O1480" i="14"/>
  <c r="O1479" i="14"/>
  <c r="O1478" i="14"/>
  <c r="O1477" i="14"/>
  <c r="O1476" i="14"/>
  <c r="O1474" i="14"/>
  <c r="O1471" i="14"/>
  <c r="O1470" i="14"/>
  <c r="N1473" i="14"/>
  <c r="R1473" i="14" s="1"/>
  <c r="N1475" i="14"/>
  <c r="R1475" i="14" s="1"/>
  <c r="N1524" i="14"/>
  <c r="N1554" i="14"/>
  <c r="N1557" i="14"/>
  <c r="R1557" i="14" s="1"/>
  <c r="K1558" i="14"/>
  <c r="K1557" i="14"/>
  <c r="K1556" i="14"/>
  <c r="K1555" i="14"/>
  <c r="K1554" i="14"/>
  <c r="K1553" i="14"/>
  <c r="K1552" i="14"/>
  <c r="K1551" i="14"/>
  <c r="K1550" i="14"/>
  <c r="K1548" i="14"/>
  <c r="K1547" i="14"/>
  <c r="K1544" i="14"/>
  <c r="K1543" i="14"/>
  <c r="K1533" i="14"/>
  <c r="K1530" i="14"/>
  <c r="K1526" i="14"/>
  <c r="K1525" i="14"/>
  <c r="K1524" i="14"/>
  <c r="K1523" i="14"/>
  <c r="K1522" i="14"/>
  <c r="K1520" i="14"/>
  <c r="K1519" i="14"/>
  <c r="K1516" i="14"/>
  <c r="K1509" i="14"/>
  <c r="K1507" i="14"/>
  <c r="K1506" i="14"/>
  <c r="K1505" i="14"/>
  <c r="K1504" i="14"/>
  <c r="K1503" i="14"/>
  <c r="K1497" i="14"/>
  <c r="K1492" i="14"/>
  <c r="K1491" i="14"/>
  <c r="K1488" i="14"/>
  <c r="K1486" i="14"/>
  <c r="K1484" i="14"/>
  <c r="K1483" i="14"/>
  <c r="K1477" i="14"/>
  <c r="K1476" i="14"/>
  <c r="K1475" i="14"/>
  <c r="K1474" i="14"/>
  <c r="K1473" i="14"/>
  <c r="K1472" i="14"/>
  <c r="K1471" i="14"/>
  <c r="J1502" i="14"/>
  <c r="J1501" i="14" s="1"/>
  <c r="J1470" i="14"/>
  <c r="R1470" i="14" s="1"/>
  <c r="J1482" i="14"/>
  <c r="J1493" i="14"/>
  <c r="J1515" i="14"/>
  <c r="J1514" i="14" s="1"/>
  <c r="R1514" i="14" s="1"/>
  <c r="J1518" i="14"/>
  <c r="R1518" i="14" s="1"/>
  <c r="J1521" i="14"/>
  <c r="R1521" i="14" s="1"/>
  <c r="J1529" i="14"/>
  <c r="R1529" i="14" s="1"/>
  <c r="J1532" i="14"/>
  <c r="J1536" i="14"/>
  <c r="J1535" i="14" s="1"/>
  <c r="J1545" i="14"/>
  <c r="R1398" i="14"/>
  <c r="R1400" i="14"/>
  <c r="R1401" i="14"/>
  <c r="R1402" i="14"/>
  <c r="R1403" i="14"/>
  <c r="R1404" i="14"/>
  <c r="R1405" i="14"/>
  <c r="R1406" i="14"/>
  <c r="R1407" i="14"/>
  <c r="R1412" i="14"/>
  <c r="R1413" i="14"/>
  <c r="R1414" i="14"/>
  <c r="R1416" i="14"/>
  <c r="R1417" i="14"/>
  <c r="R1419" i="14"/>
  <c r="R1420" i="14"/>
  <c r="R1421" i="14"/>
  <c r="R1422" i="14"/>
  <c r="R1425" i="14"/>
  <c r="R1426" i="14"/>
  <c r="R1427" i="14"/>
  <c r="R1429" i="14"/>
  <c r="R1430" i="14"/>
  <c r="R1431" i="14"/>
  <c r="R1433" i="14"/>
  <c r="R1434" i="14"/>
  <c r="R1436" i="14"/>
  <c r="R1437" i="14"/>
  <c r="R1438" i="14"/>
  <c r="R1439" i="14"/>
  <c r="R1440" i="14"/>
  <c r="R1443" i="14"/>
  <c r="R1446" i="14"/>
  <c r="R1448" i="14"/>
  <c r="R1451" i="14"/>
  <c r="R1453" i="14"/>
  <c r="R1456" i="14"/>
  <c r="R1457" i="14"/>
  <c r="R1458" i="14"/>
  <c r="O1458" i="14"/>
  <c r="O1457" i="14"/>
  <c r="O1456" i="14"/>
  <c r="O1455" i="14"/>
  <c r="O1454" i="14"/>
  <c r="O1453" i="14"/>
  <c r="O1451" i="14"/>
  <c r="O1450" i="14"/>
  <c r="O1448" i="14"/>
  <c r="O1446" i="14"/>
  <c r="O1443" i="14"/>
  <c r="O1440" i="14"/>
  <c r="O1439" i="14"/>
  <c r="O1438" i="14"/>
  <c r="O1437" i="14"/>
  <c r="O1436" i="14"/>
  <c r="O1435" i="14"/>
  <c r="O1434" i="14"/>
  <c r="O1433" i="14"/>
  <c r="O1431" i="14"/>
  <c r="O1430" i="14"/>
  <c r="O1429" i="14"/>
  <c r="O1427" i="14"/>
  <c r="O1426" i="14"/>
  <c r="O1425" i="14"/>
  <c r="O1422" i="14"/>
  <c r="O1421" i="14"/>
  <c r="O1420" i="14"/>
  <c r="O1419" i="14"/>
  <c r="O1418" i="14"/>
  <c r="O1417" i="14"/>
  <c r="O1416" i="14"/>
  <c r="O1414" i="14"/>
  <c r="O1413" i="14"/>
  <c r="O1412" i="14"/>
  <c r="O1411" i="14"/>
  <c r="O1410" i="14"/>
  <c r="O1407" i="14"/>
  <c r="O1406" i="14"/>
  <c r="O1405" i="14"/>
  <c r="O1404" i="14"/>
  <c r="O1403" i="14"/>
  <c r="O1402" i="14"/>
  <c r="O1401" i="14"/>
  <c r="O1400" i="14"/>
  <c r="O1398" i="14"/>
  <c r="O1397" i="14"/>
  <c r="O1396" i="14"/>
  <c r="N1424" i="14"/>
  <c r="R1424" i="14" s="1"/>
  <c r="N1428" i="14"/>
  <c r="R1428" i="14" s="1"/>
  <c r="R1442" i="14"/>
  <c r="N1445" i="14"/>
  <c r="N1447" i="14"/>
  <c r="R1447" i="14" s="1"/>
  <c r="N1452" i="14"/>
  <c r="N1449" i="14" s="1"/>
  <c r="K1458" i="14"/>
  <c r="K1457" i="14"/>
  <c r="K1456" i="14"/>
  <c r="K1453" i="14"/>
  <c r="K1452" i="14"/>
  <c r="K1451" i="14"/>
  <c r="K1448" i="14"/>
  <c r="K1447" i="14"/>
  <c r="K1446" i="14"/>
  <c r="K1445" i="14"/>
  <c r="K1443" i="14"/>
  <c r="K1442" i="14"/>
  <c r="K1441" i="14"/>
  <c r="K1438" i="14"/>
  <c r="K1437" i="14"/>
  <c r="K1436" i="14"/>
  <c r="K1431" i="14"/>
  <c r="K1430" i="14"/>
  <c r="K1429" i="14"/>
  <c r="K1428" i="14"/>
  <c r="K1427" i="14"/>
  <c r="K1426" i="14"/>
  <c r="K1425" i="14"/>
  <c r="K1424" i="14"/>
  <c r="K1423" i="14"/>
  <c r="K1422" i="14"/>
  <c r="K1421" i="14"/>
  <c r="K1420" i="14"/>
  <c r="K1419" i="14"/>
  <c r="K1416" i="14"/>
  <c r="K1414" i="14"/>
  <c r="K1412" i="14"/>
  <c r="K1398" i="14"/>
  <c r="R1455" i="14"/>
  <c r="I1455" i="14"/>
  <c r="J1397" i="14"/>
  <c r="J1396" i="14" s="1"/>
  <c r="R1396" i="14" s="1"/>
  <c r="J1411" i="14"/>
  <c r="J1418" i="14"/>
  <c r="J1415" i="14" s="1"/>
  <c r="J1435" i="14"/>
  <c r="R1435" i="14" s="1"/>
  <c r="J1450" i="14"/>
  <c r="R1450" i="14" s="1"/>
  <c r="R1270" i="14"/>
  <c r="R1273" i="14"/>
  <c r="R1274" i="14"/>
  <c r="R1283" i="14"/>
  <c r="R1284" i="14"/>
  <c r="R1288" i="14"/>
  <c r="R1289" i="14"/>
  <c r="R1292" i="14"/>
  <c r="R1293" i="14"/>
  <c r="R1296" i="14"/>
  <c r="R1298" i="14"/>
  <c r="R1299" i="14"/>
  <c r="R1305" i="14"/>
  <c r="R1306" i="14"/>
  <c r="R1311" i="14"/>
  <c r="R1312" i="14"/>
  <c r="R1314" i="14"/>
  <c r="R1315" i="14"/>
  <c r="R1317" i="14"/>
  <c r="R1318" i="14"/>
  <c r="R1319" i="14"/>
  <c r="R1320" i="14"/>
  <c r="R1321" i="14"/>
  <c r="R1322" i="14"/>
  <c r="R1325" i="14"/>
  <c r="R1329" i="14"/>
  <c r="R1331" i="14"/>
  <c r="R1332" i="14"/>
  <c r="R1334" i="14"/>
  <c r="R1335" i="14"/>
  <c r="R1336" i="14"/>
  <c r="R1337" i="14"/>
  <c r="R1338" i="14"/>
  <c r="R1345" i="14"/>
  <c r="R1348" i="14"/>
  <c r="R1350" i="14"/>
  <c r="R1351" i="14"/>
  <c r="R1352" i="14"/>
  <c r="R1353" i="14"/>
  <c r="R1354" i="14"/>
  <c r="R1355" i="14"/>
  <c r="R1356" i="14"/>
  <c r="R1357" i="14"/>
  <c r="R1358" i="14"/>
  <c r="R1360" i="14"/>
  <c r="R1361" i="14"/>
  <c r="R1362" i="14"/>
  <c r="R1363" i="14"/>
  <c r="R1364" i="14"/>
  <c r="R1365" i="14"/>
  <c r="R1366" i="14"/>
  <c r="R1367" i="14"/>
  <c r="R1368" i="14"/>
  <c r="R1369" i="14"/>
  <c r="R1370" i="14"/>
  <c r="R1371" i="14"/>
  <c r="R1372" i="14"/>
  <c r="R1374" i="14"/>
  <c r="R1376" i="14"/>
  <c r="R1377" i="14"/>
  <c r="R1379" i="14"/>
  <c r="R1380" i="14"/>
  <c r="R1381" i="14"/>
  <c r="R1382" i="14"/>
  <c r="R1383" i="14"/>
  <c r="R1384" i="14"/>
  <c r="R1385" i="14"/>
  <c r="O1385" i="14"/>
  <c r="O1384" i="14"/>
  <c r="O1383" i="14"/>
  <c r="O1382" i="14"/>
  <c r="O1381" i="14"/>
  <c r="O1380" i="14"/>
  <c r="O1379" i="14"/>
  <c r="O1378" i="14"/>
  <c r="O1377" i="14"/>
  <c r="O1376" i="14"/>
  <c r="O1375" i="14"/>
  <c r="O1374" i="14"/>
  <c r="O1372" i="14"/>
  <c r="O1371" i="14"/>
  <c r="O1370" i="14"/>
  <c r="O1369" i="14"/>
  <c r="O1367" i="14"/>
  <c r="O1366" i="14"/>
  <c r="O1365" i="14"/>
  <c r="O1364" i="14"/>
  <c r="O1363" i="14"/>
  <c r="O1362" i="14"/>
  <c r="O1361" i="14"/>
  <c r="O1360" i="14"/>
  <c r="O1358" i="14"/>
  <c r="O1357" i="14"/>
  <c r="O1356" i="14"/>
  <c r="O1355" i="14"/>
  <c r="O1354" i="14"/>
  <c r="O1353" i="14"/>
  <c r="O1352" i="14"/>
  <c r="O1351" i="14"/>
  <c r="O1350" i="14"/>
  <c r="O1348" i="14"/>
  <c r="O1345" i="14"/>
  <c r="O1344" i="14"/>
  <c r="O1343" i="14"/>
  <c r="O1342" i="14"/>
  <c r="O1338" i="14"/>
  <c r="O1337" i="14"/>
  <c r="O1336" i="14"/>
  <c r="O1335" i="14"/>
  <c r="O1334" i="14"/>
  <c r="O1333" i="14"/>
  <c r="O1332" i="14"/>
  <c r="O1331" i="14"/>
  <c r="O1330" i="14"/>
  <c r="O1329" i="14"/>
  <c r="O1325" i="14"/>
  <c r="O1324" i="14"/>
  <c r="O1323" i="14"/>
  <c r="O1322" i="14"/>
  <c r="O1321" i="14"/>
  <c r="O1320" i="14"/>
  <c r="O1319" i="14"/>
  <c r="O1318" i="14"/>
  <c r="O1317" i="14"/>
  <c r="O1316" i="14"/>
  <c r="O1315" i="14"/>
  <c r="O1314" i="14"/>
  <c r="O1313" i="14"/>
  <c r="O1312" i="14"/>
  <c r="O1311" i="14"/>
  <c r="O1306" i="14"/>
  <c r="O1305" i="14"/>
  <c r="O1304" i="14"/>
  <c r="O1299" i="14"/>
  <c r="O1298" i="14"/>
  <c r="O1296" i="14"/>
  <c r="O1295" i="14"/>
  <c r="O1293" i="14"/>
  <c r="O1292" i="14"/>
  <c r="O1289" i="14"/>
  <c r="O1288" i="14"/>
  <c r="O1287" i="14"/>
  <c r="O1284" i="14"/>
  <c r="O1283" i="14"/>
  <c r="O1274" i="14"/>
  <c r="O1273" i="14"/>
  <c r="O1272" i="14"/>
  <c r="O1271" i="14"/>
  <c r="O1270" i="14"/>
  <c r="O1269" i="14"/>
  <c r="O1268" i="14"/>
  <c r="N1291" i="14"/>
  <c r="N1290" i="14" s="1"/>
  <c r="N1286" i="14" s="1"/>
  <c r="N1310" i="14"/>
  <c r="N1307" i="14" s="1"/>
  <c r="N1303" i="14" s="1"/>
  <c r="N1301" i="14" s="1"/>
  <c r="N1328" i="14"/>
  <c r="N1347" i="14"/>
  <c r="R1347" i="14" s="1"/>
  <c r="N1359" i="14"/>
  <c r="K1383" i="14"/>
  <c r="K1381" i="14"/>
  <c r="K1377" i="14"/>
  <c r="K1376" i="14"/>
  <c r="K1374" i="14"/>
  <c r="K1372" i="14"/>
  <c r="K1371" i="14"/>
  <c r="K1370" i="14"/>
  <c r="K1369" i="14"/>
  <c r="K1368" i="14"/>
  <c r="K1367" i="14"/>
  <c r="K1366" i="14"/>
  <c r="K1365" i="14"/>
  <c r="K1364" i="14"/>
  <c r="K1363" i="14"/>
  <c r="K1362" i="14"/>
  <c r="K1361" i="14"/>
  <c r="K1360" i="14"/>
  <c r="K1359" i="14"/>
  <c r="K1358" i="14"/>
  <c r="K1357" i="14"/>
  <c r="K1356" i="14"/>
  <c r="K1355" i="14"/>
  <c r="K1354" i="14"/>
  <c r="K1353" i="14"/>
  <c r="K1352" i="14"/>
  <c r="K1348" i="14"/>
  <c r="K1347" i="14"/>
  <c r="K1345" i="14"/>
  <c r="K1337" i="14"/>
  <c r="K1336" i="14"/>
  <c r="K1335" i="14"/>
  <c r="K1334" i="14"/>
  <c r="K1331" i="14"/>
  <c r="K1329" i="14"/>
  <c r="K1328" i="14"/>
  <c r="K1327" i="14"/>
  <c r="K1325" i="14"/>
  <c r="K1322" i="14"/>
  <c r="K1321" i="14"/>
  <c r="K1320" i="14"/>
  <c r="K1319" i="14"/>
  <c r="K1318" i="14"/>
  <c r="K1317" i="14"/>
  <c r="K1315" i="14"/>
  <c r="K1314" i="14"/>
  <c r="K1312" i="14"/>
  <c r="K1311" i="14"/>
  <c r="K1310" i="14"/>
  <c r="K1307" i="14"/>
  <c r="K1306" i="14"/>
  <c r="K1305" i="14"/>
  <c r="K1299" i="14"/>
  <c r="K1298" i="14"/>
  <c r="K1296" i="14"/>
  <c r="K1293" i="14"/>
  <c r="K1292" i="14"/>
  <c r="K1291" i="14"/>
  <c r="K1290" i="14"/>
  <c r="K1289" i="14"/>
  <c r="K1288" i="14"/>
  <c r="K1284" i="14"/>
  <c r="K1283" i="14"/>
  <c r="K1274" i="14"/>
  <c r="K1273" i="14"/>
  <c r="K1270" i="14"/>
  <c r="J1269" i="14"/>
  <c r="J1268" i="14" s="1"/>
  <c r="R1268" i="14" s="1"/>
  <c r="J1272" i="14"/>
  <c r="J1271" i="14" s="1"/>
  <c r="R1271" i="14" s="1"/>
  <c r="J1287" i="14"/>
  <c r="J1295" i="14"/>
  <c r="J1294" i="14" s="1"/>
  <c r="J1304" i="14"/>
  <c r="R1304" i="14" s="1"/>
  <c r="J1316" i="14"/>
  <c r="J1313" i="14" s="1"/>
  <c r="R1313" i="14" s="1"/>
  <c r="J1324" i="14"/>
  <c r="J1323" i="14" s="1"/>
  <c r="R1323" i="14" s="1"/>
  <c r="J1333" i="14"/>
  <c r="J1330" i="14" s="1"/>
  <c r="J1326" i="14" s="1"/>
  <c r="J1344" i="14"/>
  <c r="J1343" i="14" s="1"/>
  <c r="J1342" i="14" s="1"/>
  <c r="R1342" i="14" s="1"/>
  <c r="J1378" i="14"/>
  <c r="J1375" i="14" s="1"/>
  <c r="J1346" i="14" s="1"/>
  <c r="R456" i="14"/>
  <c r="R457" i="14"/>
  <c r="R458" i="14"/>
  <c r="R459" i="14"/>
  <c r="R460" i="14"/>
  <c r="R461" i="14"/>
  <c r="R462" i="14"/>
  <c r="R463" i="14"/>
  <c r="R464" i="14"/>
  <c r="R466" i="14"/>
  <c r="R467" i="14"/>
  <c r="R469" i="14"/>
  <c r="R470" i="14"/>
  <c r="R471" i="14"/>
  <c r="R472" i="14"/>
  <c r="R473" i="14"/>
  <c r="R474" i="14"/>
  <c r="R478" i="14"/>
  <c r="R479" i="14"/>
  <c r="R483" i="14"/>
  <c r="R484" i="14"/>
  <c r="R486" i="14"/>
  <c r="R487" i="14"/>
  <c r="R488" i="14"/>
  <c r="R489" i="14"/>
  <c r="R490" i="14"/>
  <c r="R493" i="14"/>
  <c r="R495" i="14"/>
  <c r="R496" i="14"/>
  <c r="R498" i="14"/>
  <c r="R499" i="14"/>
  <c r="R500" i="14"/>
  <c r="R501" i="14"/>
  <c r="R502" i="14"/>
  <c r="R505" i="14"/>
  <c r="R507" i="14"/>
  <c r="R508" i="14"/>
  <c r="R510" i="14"/>
  <c r="R511" i="14"/>
  <c r="R512" i="14"/>
  <c r="R513" i="14"/>
  <c r="R514" i="14"/>
  <c r="R519" i="14"/>
  <c r="R520" i="14"/>
  <c r="R522" i="14"/>
  <c r="R523" i="14"/>
  <c r="R524" i="14"/>
  <c r="R525" i="14"/>
  <c r="R526" i="14"/>
  <c r="R528" i="14"/>
  <c r="R529" i="14"/>
  <c r="R531" i="14"/>
  <c r="R532" i="14"/>
  <c r="R534" i="14"/>
  <c r="R535" i="14"/>
  <c r="R536" i="14"/>
  <c r="R538" i="14"/>
  <c r="R539" i="14"/>
  <c r="R541" i="14"/>
  <c r="R542" i="14"/>
  <c r="R543" i="14"/>
  <c r="R544" i="14"/>
  <c r="R545" i="14"/>
  <c r="R548" i="14"/>
  <c r="R549" i="14"/>
  <c r="R551" i="14"/>
  <c r="R552" i="14"/>
  <c r="R554" i="14"/>
  <c r="R555" i="14"/>
  <c r="R556" i="14"/>
  <c r="R557" i="14"/>
  <c r="R558" i="14"/>
  <c r="R561" i="14"/>
  <c r="R563" i="14"/>
  <c r="R564" i="14"/>
  <c r="R566" i="14"/>
  <c r="R567" i="14"/>
  <c r="R568" i="14"/>
  <c r="R569" i="14"/>
  <c r="R570" i="14"/>
  <c r="R572" i="14"/>
  <c r="R573" i="14"/>
  <c r="R575" i="14"/>
  <c r="R576" i="14"/>
  <c r="R577" i="14"/>
  <c r="R578" i="14"/>
  <c r="R579" i="14"/>
  <c r="R581" i="14"/>
  <c r="R582" i="14"/>
  <c r="R584" i="14"/>
  <c r="R585" i="14"/>
  <c r="R586" i="14"/>
  <c r="R587" i="14"/>
  <c r="R588" i="14"/>
  <c r="R589" i="14"/>
  <c r="R591" i="14"/>
  <c r="R592" i="14"/>
  <c r="R594" i="14"/>
  <c r="R595" i="14"/>
  <c r="R596" i="14"/>
  <c r="R597" i="14"/>
  <c r="R598" i="14"/>
  <c r="R603" i="14"/>
  <c r="R604" i="14"/>
  <c r="R606" i="14"/>
  <c r="R607" i="14"/>
  <c r="R608" i="14"/>
  <c r="R609" i="14"/>
  <c r="R610" i="14"/>
  <c r="R612" i="14"/>
  <c r="R613" i="14"/>
  <c r="R615" i="14"/>
  <c r="R616" i="14"/>
  <c r="R617" i="14"/>
  <c r="R618" i="14"/>
  <c r="R619" i="14"/>
  <c r="R621" i="14"/>
  <c r="R622" i="14"/>
  <c r="R624" i="14"/>
  <c r="R625" i="14"/>
  <c r="R626" i="14"/>
  <c r="R627" i="14"/>
  <c r="R628" i="14"/>
  <c r="R629" i="14"/>
  <c r="R631" i="14"/>
  <c r="R632" i="14"/>
  <c r="R634" i="14"/>
  <c r="R635" i="14"/>
  <c r="R636" i="14"/>
  <c r="R637" i="14"/>
  <c r="R638" i="14"/>
  <c r="R639" i="14"/>
  <c r="R642" i="14"/>
  <c r="R645" i="14"/>
  <c r="R647" i="14"/>
  <c r="R648" i="14"/>
  <c r="R651" i="14"/>
  <c r="R652" i="14"/>
  <c r="R654" i="14"/>
  <c r="R655" i="14"/>
  <c r="R656" i="14"/>
  <c r="R657" i="14"/>
  <c r="R658" i="14"/>
  <c r="R659" i="14"/>
  <c r="R660" i="14"/>
  <c r="R661" i="14"/>
  <c r="R662" i="14"/>
  <c r="R664" i="14"/>
  <c r="R665" i="14"/>
  <c r="R666" i="14"/>
  <c r="R667" i="14"/>
  <c r="R668" i="14"/>
  <c r="R669" i="14"/>
  <c r="R670" i="14"/>
  <c r="R674" i="14"/>
  <c r="R676" i="14"/>
  <c r="R679" i="14"/>
  <c r="R680" i="14"/>
  <c r="R682" i="14"/>
  <c r="R683" i="14"/>
  <c r="R684" i="14"/>
  <c r="R685" i="14"/>
  <c r="R686" i="14"/>
  <c r="R687" i="14"/>
  <c r="R688" i="14"/>
  <c r="R690" i="14"/>
  <c r="R691" i="14"/>
  <c r="R692" i="14"/>
  <c r="R693" i="14"/>
  <c r="R694" i="14"/>
  <c r="R695" i="14"/>
  <c r="R696" i="14"/>
  <c r="R700" i="14"/>
  <c r="R702" i="14"/>
  <c r="R703" i="14"/>
  <c r="R705" i="14"/>
  <c r="R706" i="14"/>
  <c r="R707" i="14"/>
  <c r="R708" i="14"/>
  <c r="R709" i="14"/>
  <c r="R710" i="14"/>
  <c r="R711" i="14"/>
  <c r="R712" i="14"/>
  <c r="R713" i="14"/>
  <c r="R715" i="14"/>
  <c r="R716" i="14"/>
  <c r="R717" i="14"/>
  <c r="R718" i="14"/>
  <c r="R719" i="14"/>
  <c r="R720" i="14"/>
  <c r="R721" i="14"/>
  <c r="R727" i="14"/>
  <c r="R728" i="14"/>
  <c r="R730" i="14"/>
  <c r="R731" i="14"/>
  <c r="R732" i="14"/>
  <c r="R733" i="14"/>
  <c r="R734" i="14"/>
  <c r="R735" i="14"/>
  <c r="R736" i="14"/>
  <c r="R737" i="14"/>
  <c r="R738" i="14"/>
  <c r="R739" i="14"/>
  <c r="R741" i="14"/>
  <c r="R742" i="14"/>
  <c r="R743" i="14"/>
  <c r="R744" i="14"/>
  <c r="R745" i="14"/>
  <c r="R746" i="14"/>
  <c r="R747" i="14"/>
  <c r="R751" i="14"/>
  <c r="R753" i="14"/>
  <c r="R756" i="14"/>
  <c r="R757" i="14"/>
  <c r="R759" i="14"/>
  <c r="R760" i="14"/>
  <c r="R761" i="14"/>
  <c r="R762" i="14"/>
  <c r="R763" i="14"/>
  <c r="R764" i="14"/>
  <c r="R765" i="14"/>
  <c r="R766" i="14"/>
  <c r="R767" i="14"/>
  <c r="R769" i="14"/>
  <c r="R770" i="14"/>
  <c r="R771" i="14"/>
  <c r="R772" i="14"/>
  <c r="R773" i="14"/>
  <c r="R774" i="14"/>
  <c r="R778" i="14"/>
  <c r="R780" i="14"/>
  <c r="R781" i="14"/>
  <c r="R784" i="14"/>
  <c r="R785" i="14"/>
  <c r="R786" i="14"/>
  <c r="R787" i="14"/>
  <c r="R788" i="14"/>
  <c r="R789" i="14"/>
  <c r="R790" i="14"/>
  <c r="R791" i="14"/>
  <c r="R794" i="14"/>
  <c r="R795" i="14"/>
  <c r="R796" i="14"/>
  <c r="R797" i="14"/>
  <c r="R798" i="14"/>
  <c r="R799" i="14"/>
  <c r="R800" i="14"/>
  <c r="R804" i="14"/>
  <c r="R806" i="14"/>
  <c r="R809" i="14"/>
  <c r="R810" i="14"/>
  <c r="R812" i="14"/>
  <c r="R813" i="14"/>
  <c r="R814" i="14"/>
  <c r="R815" i="14"/>
  <c r="R816" i="14"/>
  <c r="R817" i="14"/>
  <c r="R818" i="14"/>
  <c r="R819" i="14"/>
  <c r="R820" i="14"/>
  <c r="R822" i="14"/>
  <c r="R823" i="14"/>
  <c r="R824" i="14"/>
  <c r="R825" i="14"/>
  <c r="R826" i="14"/>
  <c r="R827" i="14"/>
  <c r="R828" i="14"/>
  <c r="R832" i="14"/>
  <c r="R835" i="14"/>
  <c r="R836" i="14"/>
  <c r="R838" i="14"/>
  <c r="R839" i="14"/>
  <c r="R840" i="14"/>
  <c r="R841" i="14"/>
  <c r="R842" i="14"/>
  <c r="R843" i="14"/>
  <c r="R844" i="14"/>
  <c r="R846" i="14"/>
  <c r="R847" i="14"/>
  <c r="R848" i="14"/>
  <c r="R849" i="14"/>
  <c r="R850" i="14"/>
  <c r="R854" i="14"/>
  <c r="R855" i="14"/>
  <c r="R856" i="14"/>
  <c r="R859" i="14"/>
  <c r="R860" i="14"/>
  <c r="R861" i="14"/>
  <c r="R862" i="14"/>
  <c r="R863" i="14"/>
  <c r="R864" i="14"/>
  <c r="R865" i="14"/>
  <c r="R866" i="14"/>
  <c r="R868" i="14"/>
  <c r="R869" i="14"/>
  <c r="R871" i="14"/>
  <c r="R872" i="14"/>
  <c r="R873" i="14"/>
  <c r="R874" i="14"/>
  <c r="R875" i="14"/>
  <c r="R876" i="14"/>
  <c r="R877" i="14"/>
  <c r="R878" i="14"/>
  <c r="R880" i="14"/>
  <c r="R881" i="14"/>
  <c r="R883" i="14"/>
  <c r="R884" i="14"/>
  <c r="R885" i="14"/>
  <c r="R886" i="14"/>
  <c r="R887" i="14"/>
  <c r="R889" i="14"/>
  <c r="R890" i="14"/>
  <c r="R892" i="14"/>
  <c r="R893" i="14"/>
  <c r="R894" i="14"/>
  <c r="R896" i="14"/>
  <c r="R897" i="14"/>
  <c r="R899" i="14"/>
  <c r="R900" i="14"/>
  <c r="R901" i="14"/>
  <c r="R902" i="14"/>
  <c r="R903" i="14"/>
  <c r="R905" i="14"/>
  <c r="R906" i="14"/>
  <c r="R908" i="14"/>
  <c r="R909" i="14"/>
  <c r="R910" i="14"/>
  <c r="R911" i="14"/>
  <c r="R912" i="14"/>
  <c r="R914" i="14"/>
  <c r="R915" i="14"/>
  <c r="R917" i="14"/>
  <c r="R918" i="14"/>
  <c r="R919" i="14"/>
  <c r="R920" i="14"/>
  <c r="R921" i="14"/>
  <c r="R923" i="14"/>
  <c r="R924" i="14"/>
  <c r="R926" i="14"/>
  <c r="R927" i="14"/>
  <c r="R928" i="14"/>
  <c r="R929" i="14"/>
  <c r="R930" i="14"/>
  <c r="R932" i="14"/>
  <c r="R933" i="14"/>
  <c r="R935" i="14"/>
  <c r="R936" i="14"/>
  <c r="R937" i="14"/>
  <c r="R938" i="14"/>
  <c r="R939" i="14"/>
  <c r="R941" i="14"/>
  <c r="R942" i="14"/>
  <c r="R944" i="14"/>
  <c r="R945" i="14"/>
  <c r="R946" i="14"/>
  <c r="R947" i="14"/>
  <c r="R948" i="14"/>
  <c r="R950" i="14"/>
  <c r="R951" i="14"/>
  <c r="R953" i="14"/>
  <c r="R954" i="14"/>
  <c r="R955" i="14"/>
  <c r="R956" i="14"/>
  <c r="R957" i="14"/>
  <c r="R958" i="14"/>
  <c r="R959" i="14"/>
  <c r="R962" i="14"/>
  <c r="R967" i="14"/>
  <c r="R968" i="14"/>
  <c r="R969" i="14"/>
  <c r="R970" i="14"/>
  <c r="R971" i="14"/>
  <c r="R972" i="14"/>
  <c r="R975" i="14"/>
  <c r="R976" i="14"/>
  <c r="R978" i="14"/>
  <c r="R979" i="14"/>
  <c r="R980" i="14"/>
  <c r="R981" i="14"/>
  <c r="R986" i="14"/>
  <c r="R987" i="14"/>
  <c r="R989" i="14"/>
  <c r="R990" i="14"/>
  <c r="R991" i="14"/>
  <c r="R992" i="14"/>
  <c r="R994" i="14"/>
  <c r="R995" i="14"/>
  <c r="R997" i="14"/>
  <c r="R998" i="14"/>
  <c r="R999" i="14"/>
  <c r="R1000" i="14"/>
  <c r="R1005" i="14"/>
  <c r="R1006" i="14"/>
  <c r="R1008" i="14"/>
  <c r="R1009" i="14"/>
  <c r="R1010" i="14"/>
  <c r="R1011" i="14"/>
  <c r="R1016" i="14"/>
  <c r="R1017" i="14"/>
  <c r="R1019" i="14"/>
  <c r="R1020" i="14"/>
  <c r="R1021" i="14"/>
  <c r="R1022" i="14"/>
  <c r="R1024" i="14"/>
  <c r="R1025" i="14"/>
  <c r="R1027" i="14"/>
  <c r="R1028" i="14"/>
  <c r="R1029" i="14"/>
  <c r="R1030" i="14"/>
  <c r="R1035" i="14"/>
  <c r="R1036" i="14"/>
  <c r="R1038" i="14"/>
  <c r="R1039" i="14"/>
  <c r="R1040" i="14"/>
  <c r="R1041" i="14"/>
  <c r="R1043" i="14"/>
  <c r="R1044" i="14"/>
  <c r="R1046" i="14"/>
  <c r="R1047" i="14"/>
  <c r="R1048" i="14"/>
  <c r="R1049" i="14"/>
  <c r="R1051" i="14"/>
  <c r="R1052" i="14"/>
  <c r="R1054" i="14"/>
  <c r="R1055" i="14"/>
  <c r="R1056" i="14"/>
  <c r="R1057" i="14"/>
  <c r="R1059" i="14"/>
  <c r="R1060" i="14"/>
  <c r="R1062" i="14"/>
  <c r="R1063" i="14"/>
  <c r="R1064" i="14"/>
  <c r="R1065" i="14"/>
  <c r="R1067" i="14"/>
  <c r="R1068" i="14"/>
  <c r="R1070" i="14"/>
  <c r="R1071" i="14"/>
  <c r="R1072" i="14"/>
  <c r="R1073" i="14"/>
  <c r="R1075" i="14"/>
  <c r="R1076" i="14"/>
  <c r="R1078" i="14"/>
  <c r="R1079" i="14"/>
  <c r="R1080" i="14"/>
  <c r="R1081" i="14"/>
  <c r="R1083" i="14"/>
  <c r="R1084" i="14"/>
  <c r="R1086" i="14"/>
  <c r="R1087" i="14"/>
  <c r="R1088" i="14"/>
  <c r="R1089" i="14"/>
  <c r="R1091" i="14"/>
  <c r="R1092" i="14"/>
  <c r="R1094" i="14"/>
  <c r="R1095" i="14"/>
  <c r="R1096" i="14"/>
  <c r="R1097" i="14"/>
  <c r="R1098" i="14"/>
  <c r="R1100" i="14"/>
  <c r="R1101" i="14"/>
  <c r="R1103" i="14"/>
  <c r="R1104" i="14"/>
  <c r="R1105" i="14"/>
  <c r="R1106" i="14"/>
  <c r="R1107" i="14"/>
  <c r="R1108" i="14"/>
  <c r="R1109" i="14"/>
  <c r="R1111" i="14"/>
  <c r="R1112" i="14"/>
  <c r="R1113" i="14"/>
  <c r="R1114" i="14"/>
  <c r="R1115" i="14"/>
  <c r="R1117" i="14"/>
  <c r="R1118" i="14"/>
  <c r="R1120" i="14"/>
  <c r="R1121" i="14"/>
  <c r="R1122" i="14"/>
  <c r="R1123" i="14"/>
  <c r="R1124" i="14"/>
  <c r="R1125" i="14"/>
  <c r="R1127" i="14"/>
  <c r="R1128" i="14"/>
  <c r="R1129" i="14"/>
  <c r="R1130" i="14"/>
  <c r="R1135" i="14"/>
  <c r="R1136" i="14"/>
  <c r="R1138" i="14"/>
  <c r="R1139" i="14"/>
  <c r="R1140" i="14"/>
  <c r="R1141" i="14"/>
  <c r="R1142" i="14"/>
  <c r="R1143" i="14"/>
  <c r="R1144" i="14"/>
  <c r="R1146" i="14"/>
  <c r="R1147" i="14"/>
  <c r="R1148" i="14"/>
  <c r="R1149" i="14"/>
  <c r="R1150" i="14"/>
  <c r="R1153" i="14"/>
  <c r="R1154" i="14"/>
  <c r="R1155" i="14"/>
  <c r="R1157" i="14"/>
  <c r="R1158" i="14"/>
  <c r="R1159" i="14"/>
  <c r="R1160" i="14"/>
  <c r="R1161" i="14"/>
  <c r="R1162" i="14"/>
  <c r="R1163" i="14"/>
  <c r="R1165" i="14"/>
  <c r="R1166" i="14"/>
  <c r="R1167" i="14"/>
  <c r="R1168" i="14"/>
  <c r="R1169" i="14"/>
  <c r="R1174" i="14"/>
  <c r="R1175" i="14"/>
  <c r="R1177" i="14"/>
  <c r="R1178" i="14"/>
  <c r="R1179" i="14"/>
  <c r="R1180" i="14"/>
  <c r="R1181" i="14"/>
  <c r="R1182" i="14"/>
  <c r="R1183" i="14"/>
  <c r="R1185" i="14"/>
  <c r="R1186" i="14"/>
  <c r="R1187" i="14"/>
  <c r="R1188" i="14"/>
  <c r="R1189" i="14"/>
  <c r="R1191" i="14"/>
  <c r="R1192" i="14"/>
  <c r="R1194" i="14"/>
  <c r="R1195" i="14"/>
  <c r="R1196" i="14"/>
  <c r="R1197" i="14"/>
  <c r="R1198" i="14"/>
  <c r="R1199" i="14"/>
  <c r="R1200" i="14"/>
  <c r="R1202" i="14"/>
  <c r="R1203" i="14"/>
  <c r="R1204" i="14"/>
  <c r="R1205" i="14"/>
  <c r="R1206" i="14"/>
  <c r="R1207" i="14"/>
  <c r="R1210" i="14"/>
  <c r="R1211" i="14"/>
  <c r="R1212" i="14"/>
  <c r="R1214" i="14"/>
  <c r="R1215" i="14"/>
  <c r="R1216" i="14"/>
  <c r="R1217" i="14"/>
  <c r="R1218" i="14"/>
  <c r="R1219" i="14"/>
  <c r="R1220" i="14"/>
  <c r="R1222" i="14"/>
  <c r="R1223" i="14"/>
  <c r="R1224" i="14"/>
  <c r="R1225" i="14"/>
  <c r="R1226" i="14"/>
  <c r="R1230" i="14"/>
  <c r="R1232" i="14"/>
  <c r="R1233" i="14"/>
  <c r="R1235" i="14"/>
  <c r="R1236" i="14"/>
  <c r="R1237" i="14"/>
  <c r="R1240" i="14"/>
  <c r="R1241" i="14"/>
  <c r="R1242" i="14"/>
  <c r="R1245" i="14"/>
  <c r="R1247" i="14"/>
  <c r="R1248" i="14"/>
  <c r="R1250" i="14"/>
  <c r="R1251" i="14"/>
  <c r="R1252" i="14"/>
  <c r="R1253" i="14"/>
  <c r="R1254" i="14"/>
  <c r="R1255" i="14"/>
  <c r="R1256" i="14"/>
  <c r="R1257" i="14"/>
  <c r="O1257" i="14"/>
  <c r="O1256" i="14"/>
  <c r="O1255" i="14"/>
  <c r="O1254" i="14"/>
  <c r="O1253" i="14"/>
  <c r="O1252" i="14"/>
  <c r="O1251" i="14"/>
  <c r="O1250" i="14"/>
  <c r="O1249" i="14"/>
  <c r="O1248" i="14"/>
  <c r="O1247" i="14"/>
  <c r="O1246" i="14"/>
  <c r="O1245" i="14"/>
  <c r="O1244" i="14"/>
  <c r="O1243" i="14"/>
  <c r="O1242" i="14"/>
  <c r="O1241" i="14"/>
  <c r="O1240" i="14"/>
  <c r="O1239" i="14"/>
  <c r="O1238" i="14"/>
  <c r="O1237" i="14"/>
  <c r="O1236" i="14"/>
  <c r="O1235" i="14"/>
  <c r="O1234" i="14"/>
  <c r="O1233" i="14"/>
  <c r="O1232" i="14"/>
  <c r="O1231" i="14"/>
  <c r="O1230" i="14"/>
  <c r="O1229" i="14"/>
  <c r="O1228" i="14"/>
  <c r="O1227" i="14"/>
  <c r="O1226" i="14"/>
  <c r="O1225" i="14"/>
  <c r="O1224" i="14"/>
  <c r="O1223" i="14"/>
  <c r="O1222" i="14"/>
  <c r="O1221" i="14"/>
  <c r="O1220" i="14"/>
  <c r="O1219" i="14"/>
  <c r="O1218" i="14"/>
  <c r="O1217" i="14"/>
  <c r="O1216" i="14"/>
  <c r="O1215" i="14"/>
  <c r="O1214" i="14"/>
  <c r="O1213" i="14"/>
  <c r="O1212" i="14"/>
  <c r="O1211" i="14"/>
  <c r="O1210" i="14"/>
  <c r="O1209" i="14"/>
  <c r="O1208" i="14"/>
  <c r="O1207" i="14"/>
  <c r="O1206" i="14"/>
  <c r="O1205" i="14"/>
  <c r="O1204" i="14"/>
  <c r="O1203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5" i="14"/>
  <c r="O1174" i="14"/>
  <c r="O1173" i="14"/>
  <c r="O1169" i="14"/>
  <c r="O1168" i="14"/>
  <c r="O1167" i="14"/>
  <c r="O1166" i="14"/>
  <c r="O1165" i="14"/>
  <c r="O1164" i="14"/>
  <c r="O1163" i="14"/>
  <c r="O1162" i="14"/>
  <c r="O1161" i="14"/>
  <c r="O1160" i="14"/>
  <c r="O1159" i="14"/>
  <c r="O1158" i="14"/>
  <c r="O1157" i="14"/>
  <c r="O1156" i="14"/>
  <c r="O1155" i="14"/>
  <c r="O1154" i="14"/>
  <c r="O1153" i="14"/>
  <c r="O1152" i="14"/>
  <c r="O1151" i="14"/>
  <c r="O1150" i="14"/>
  <c r="O1149" i="14"/>
  <c r="O1148" i="14"/>
  <c r="O1147" i="14"/>
  <c r="O1146" i="14"/>
  <c r="O1145" i="14"/>
  <c r="O1144" i="14"/>
  <c r="O1143" i="14"/>
  <c r="O1142" i="14"/>
  <c r="O1141" i="14"/>
  <c r="O1140" i="14"/>
  <c r="O1139" i="14"/>
  <c r="O1138" i="14"/>
  <c r="O1137" i="14"/>
  <c r="O1136" i="14"/>
  <c r="O1135" i="14"/>
  <c r="O1134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6" i="14"/>
  <c r="O1105" i="14"/>
  <c r="O1104" i="14"/>
  <c r="O1103" i="14"/>
  <c r="O1102" i="14"/>
  <c r="O1101" i="14"/>
  <c r="O1100" i="14"/>
  <c r="O1099" i="14"/>
  <c r="O1098" i="14"/>
  <c r="O1097" i="14"/>
  <c r="O1096" i="14"/>
  <c r="O1095" i="14"/>
  <c r="O1094" i="14"/>
  <c r="O1093" i="14"/>
  <c r="O1092" i="14"/>
  <c r="O1091" i="14"/>
  <c r="O1090" i="14"/>
  <c r="O1089" i="14"/>
  <c r="O1088" i="14"/>
  <c r="O1087" i="14"/>
  <c r="O1086" i="14"/>
  <c r="O1085" i="14"/>
  <c r="O1084" i="14"/>
  <c r="O1083" i="14"/>
  <c r="O1082" i="14"/>
  <c r="O1081" i="14"/>
  <c r="O1080" i="14"/>
  <c r="O1079" i="14"/>
  <c r="O1078" i="14"/>
  <c r="O1077" i="14"/>
  <c r="O1076" i="14"/>
  <c r="O1075" i="14"/>
  <c r="O1074" i="14"/>
  <c r="O1073" i="14"/>
  <c r="O1072" i="14"/>
  <c r="O1071" i="14"/>
  <c r="O1070" i="14"/>
  <c r="O1069" i="14"/>
  <c r="O1068" i="14"/>
  <c r="O1067" i="14"/>
  <c r="O1066" i="14"/>
  <c r="O1065" i="14"/>
  <c r="O1064" i="14"/>
  <c r="O1063" i="14"/>
  <c r="O1062" i="14"/>
  <c r="O1061" i="14"/>
  <c r="O1060" i="14"/>
  <c r="O1059" i="14"/>
  <c r="O1058" i="14"/>
  <c r="O1057" i="14"/>
  <c r="O1056" i="14"/>
  <c r="O1055" i="14"/>
  <c r="O1054" i="14"/>
  <c r="O1053" i="14"/>
  <c r="O1052" i="14"/>
  <c r="O1051" i="14"/>
  <c r="O1050" i="14"/>
  <c r="O1049" i="14"/>
  <c r="O1048" i="14"/>
  <c r="O1047" i="14"/>
  <c r="O1046" i="14"/>
  <c r="O1045" i="14"/>
  <c r="O1044" i="14"/>
  <c r="O1043" i="14"/>
  <c r="O1042" i="14"/>
  <c r="O1041" i="14"/>
  <c r="O1040" i="14"/>
  <c r="O1039" i="14"/>
  <c r="O1038" i="14"/>
  <c r="O1037" i="14"/>
  <c r="O1036" i="14"/>
  <c r="O1035" i="14"/>
  <c r="O1034" i="14"/>
  <c r="O1030" i="14"/>
  <c r="O1029" i="14"/>
  <c r="O1028" i="14"/>
  <c r="O1027" i="14"/>
  <c r="O1026" i="14"/>
  <c r="O1025" i="14"/>
  <c r="O1024" i="14"/>
  <c r="O1023" i="14"/>
  <c r="O1022" i="14"/>
  <c r="O1021" i="14"/>
  <c r="O1020" i="14"/>
  <c r="O1019" i="14"/>
  <c r="O1018" i="14"/>
  <c r="O1017" i="14"/>
  <c r="O1016" i="14"/>
  <c r="O1015" i="14"/>
  <c r="O1011" i="14"/>
  <c r="O1010" i="14"/>
  <c r="O1009" i="14"/>
  <c r="O1008" i="14"/>
  <c r="O1007" i="14"/>
  <c r="O1006" i="14"/>
  <c r="O1005" i="14"/>
  <c r="O1004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3" i="14"/>
  <c r="O962" i="14"/>
  <c r="O959" i="14"/>
  <c r="O958" i="14"/>
  <c r="O957" i="14"/>
  <c r="O956" i="14"/>
  <c r="O955" i="14"/>
  <c r="O954" i="14"/>
  <c r="O953" i="14"/>
  <c r="O952" i="14"/>
  <c r="O951" i="14"/>
  <c r="O950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8" i="14"/>
  <c r="O927" i="14"/>
  <c r="O926" i="14"/>
  <c r="O925" i="14"/>
  <c r="O924" i="14"/>
  <c r="O923" i="14"/>
  <c r="O922" i="14"/>
  <c r="O921" i="14"/>
  <c r="O920" i="14"/>
  <c r="O919" i="14"/>
  <c r="O918" i="14"/>
  <c r="O917" i="14"/>
  <c r="O916" i="14"/>
  <c r="O915" i="14"/>
  <c r="O914" i="14"/>
  <c r="O913" i="14"/>
  <c r="O912" i="14"/>
  <c r="O911" i="14"/>
  <c r="O910" i="14"/>
  <c r="O909" i="14"/>
  <c r="O908" i="14"/>
  <c r="O907" i="14"/>
  <c r="O906" i="14"/>
  <c r="O905" i="14"/>
  <c r="O904" i="14"/>
  <c r="O903" i="14"/>
  <c r="O902" i="14"/>
  <c r="O901" i="14"/>
  <c r="O900" i="14"/>
  <c r="O899" i="14"/>
  <c r="O898" i="14"/>
  <c r="O897" i="14"/>
  <c r="O896" i="14"/>
  <c r="O895" i="14"/>
  <c r="O894" i="14"/>
  <c r="O893" i="14"/>
  <c r="O892" i="14"/>
  <c r="O891" i="14"/>
  <c r="O890" i="14"/>
  <c r="O889" i="14"/>
  <c r="O888" i="14"/>
  <c r="O887" i="14"/>
  <c r="O886" i="14"/>
  <c r="O885" i="14"/>
  <c r="O884" i="14"/>
  <c r="O883" i="14"/>
  <c r="O882" i="14"/>
  <c r="O881" i="14"/>
  <c r="O880" i="14"/>
  <c r="O879" i="14"/>
  <c r="O878" i="14"/>
  <c r="O877" i="14"/>
  <c r="O876" i="14"/>
  <c r="O875" i="14"/>
  <c r="O874" i="14"/>
  <c r="O873" i="14"/>
  <c r="O872" i="14"/>
  <c r="O871" i="14"/>
  <c r="O870" i="14"/>
  <c r="O869" i="14"/>
  <c r="O868" i="14"/>
  <c r="O867" i="14"/>
  <c r="O866" i="14"/>
  <c r="O865" i="14"/>
  <c r="O864" i="14"/>
  <c r="O863" i="14"/>
  <c r="O862" i="14"/>
  <c r="O861" i="14"/>
  <c r="O860" i="14"/>
  <c r="O859" i="14"/>
  <c r="O858" i="14"/>
  <c r="O856" i="14"/>
  <c r="O855" i="14"/>
  <c r="O854" i="14"/>
  <c r="O850" i="14"/>
  <c r="O849" i="14"/>
  <c r="O848" i="14"/>
  <c r="O847" i="14"/>
  <c r="O846" i="14"/>
  <c r="O845" i="14"/>
  <c r="O844" i="14"/>
  <c r="O843" i="14"/>
  <c r="O842" i="14"/>
  <c r="O841" i="14"/>
  <c r="O840" i="14"/>
  <c r="O839" i="14"/>
  <c r="O838" i="14"/>
  <c r="O837" i="14"/>
  <c r="O836" i="14"/>
  <c r="O835" i="14"/>
  <c r="O832" i="14"/>
  <c r="O828" i="14"/>
  <c r="O827" i="14"/>
  <c r="O826" i="14"/>
  <c r="O825" i="14"/>
  <c r="O824" i="14"/>
  <c r="O823" i="14"/>
  <c r="O822" i="14"/>
  <c r="O821" i="14"/>
  <c r="O820" i="14"/>
  <c r="O819" i="14"/>
  <c r="O818" i="14"/>
  <c r="O817" i="14"/>
  <c r="O816" i="14"/>
  <c r="O815" i="14"/>
  <c r="O814" i="14"/>
  <c r="O813" i="14"/>
  <c r="O812" i="14"/>
  <c r="O811" i="14"/>
  <c r="O810" i="14"/>
  <c r="O809" i="14"/>
  <c r="O804" i="14"/>
  <c r="O800" i="14"/>
  <c r="O799" i="14"/>
  <c r="O798" i="14"/>
  <c r="O797" i="14"/>
  <c r="O796" i="14"/>
  <c r="O795" i="14"/>
  <c r="O794" i="14"/>
  <c r="O792" i="14"/>
  <c r="O791" i="14"/>
  <c r="O790" i="14"/>
  <c r="O789" i="14"/>
  <c r="O788" i="14"/>
  <c r="O787" i="14"/>
  <c r="O786" i="14"/>
  <c r="O785" i="14"/>
  <c r="O784" i="14"/>
  <c r="O782" i="14"/>
  <c r="O781" i="14"/>
  <c r="O780" i="14"/>
  <c r="O778" i="14"/>
  <c r="S778" i="14" s="1"/>
  <c r="O774" i="14"/>
  <c r="O773" i="14"/>
  <c r="O772" i="14"/>
  <c r="O771" i="14"/>
  <c r="O770" i="14"/>
  <c r="O769" i="14"/>
  <c r="O768" i="14"/>
  <c r="O767" i="14"/>
  <c r="O766" i="14"/>
  <c r="O765" i="14"/>
  <c r="O764" i="14"/>
  <c r="O763" i="14"/>
  <c r="O762" i="14"/>
  <c r="O761" i="14"/>
  <c r="O760" i="14"/>
  <c r="O759" i="14"/>
  <c r="O758" i="14"/>
  <c r="O757" i="14"/>
  <c r="O756" i="14"/>
  <c r="O753" i="14"/>
  <c r="O751" i="14"/>
  <c r="O747" i="14"/>
  <c r="O746" i="14"/>
  <c r="O745" i="14"/>
  <c r="O744" i="14"/>
  <c r="O743" i="14"/>
  <c r="O742" i="14"/>
  <c r="O741" i="14"/>
  <c r="O740" i="14"/>
  <c r="O739" i="14"/>
  <c r="O738" i="14"/>
  <c r="O737" i="14"/>
  <c r="O736" i="14"/>
  <c r="O735" i="14"/>
  <c r="O734" i="14"/>
  <c r="O733" i="14"/>
  <c r="O732" i="14"/>
  <c r="O731" i="14"/>
  <c r="O730" i="14"/>
  <c r="O729" i="14"/>
  <c r="O728" i="14"/>
  <c r="O727" i="14"/>
  <c r="O721" i="14"/>
  <c r="O720" i="14"/>
  <c r="O719" i="14"/>
  <c r="O718" i="14"/>
  <c r="O717" i="14"/>
  <c r="O716" i="14"/>
  <c r="O715" i="14"/>
  <c r="O714" i="14"/>
  <c r="O713" i="14"/>
  <c r="O712" i="14"/>
  <c r="O711" i="14"/>
  <c r="O710" i="14"/>
  <c r="O709" i="14"/>
  <c r="O708" i="14"/>
  <c r="O707" i="14"/>
  <c r="O706" i="14"/>
  <c r="O705" i="14"/>
  <c r="O704" i="14"/>
  <c r="O703" i="14"/>
  <c r="O702" i="14"/>
  <c r="O701" i="14"/>
  <c r="O700" i="14"/>
  <c r="O696" i="14"/>
  <c r="O695" i="14"/>
  <c r="O694" i="14"/>
  <c r="O693" i="14"/>
  <c r="O692" i="14"/>
  <c r="O691" i="14"/>
  <c r="O690" i="14"/>
  <c r="O689" i="14"/>
  <c r="O688" i="14"/>
  <c r="O687" i="14"/>
  <c r="O686" i="14"/>
  <c r="O685" i="14"/>
  <c r="O684" i="14"/>
  <c r="O683" i="14"/>
  <c r="O682" i="14"/>
  <c r="O681" i="14"/>
  <c r="O680" i="14"/>
  <c r="O679" i="14"/>
  <c r="O676" i="14"/>
  <c r="O674" i="14"/>
  <c r="O670" i="14"/>
  <c r="O669" i="14"/>
  <c r="O668" i="14"/>
  <c r="O667" i="14"/>
  <c r="O666" i="14"/>
  <c r="O665" i="14"/>
  <c r="O664" i="14"/>
  <c r="O663" i="14"/>
  <c r="O662" i="14"/>
  <c r="O661" i="14"/>
  <c r="O660" i="14"/>
  <c r="O659" i="14"/>
  <c r="O658" i="14"/>
  <c r="O657" i="14"/>
  <c r="O656" i="14"/>
  <c r="O655" i="14"/>
  <c r="O654" i="14"/>
  <c r="O653" i="14"/>
  <c r="O652" i="14"/>
  <c r="O651" i="14"/>
  <c r="O648" i="14"/>
  <c r="O647" i="14"/>
  <c r="O645" i="14"/>
  <c r="O644" i="14"/>
  <c r="O639" i="14"/>
  <c r="O638" i="14"/>
  <c r="O637" i="14"/>
  <c r="O636" i="14"/>
  <c r="O635" i="14"/>
  <c r="O634" i="14"/>
  <c r="O633" i="14"/>
  <c r="O632" i="14"/>
  <c r="O631" i="14"/>
  <c r="O629" i="14"/>
  <c r="O628" i="14"/>
  <c r="O627" i="14"/>
  <c r="O626" i="14"/>
  <c r="O625" i="14"/>
  <c r="O624" i="14"/>
  <c r="O623" i="14"/>
  <c r="O622" i="14"/>
  <c r="O621" i="14"/>
  <c r="O620" i="14"/>
  <c r="O619" i="14"/>
  <c r="O618" i="14"/>
  <c r="O617" i="14"/>
  <c r="O616" i="14"/>
  <c r="O615" i="14"/>
  <c r="O614" i="14"/>
  <c r="O613" i="14"/>
  <c r="O612" i="14"/>
  <c r="O611" i="14"/>
  <c r="O610" i="14"/>
  <c r="O609" i="14"/>
  <c r="O608" i="14"/>
  <c r="O607" i="14"/>
  <c r="O606" i="14"/>
  <c r="O605" i="14"/>
  <c r="O604" i="14"/>
  <c r="O603" i="14"/>
  <c r="O602" i="14"/>
  <c r="O598" i="14"/>
  <c r="O597" i="14"/>
  <c r="O596" i="14"/>
  <c r="O595" i="14"/>
  <c r="O594" i="14"/>
  <c r="O593" i="14"/>
  <c r="O592" i="14"/>
  <c r="O591" i="14"/>
  <c r="O590" i="14"/>
  <c r="O589" i="14"/>
  <c r="O588" i="14"/>
  <c r="O587" i="14"/>
  <c r="O586" i="14"/>
  <c r="O585" i="14"/>
  <c r="O584" i="14"/>
  <c r="O583" i="14"/>
  <c r="O582" i="14"/>
  <c r="O581" i="14"/>
  <c r="O580" i="14"/>
  <c r="O579" i="14"/>
  <c r="O578" i="14"/>
  <c r="O577" i="14"/>
  <c r="O576" i="14"/>
  <c r="O575" i="14"/>
  <c r="O574" i="14"/>
  <c r="O573" i="14"/>
  <c r="O572" i="14"/>
  <c r="O571" i="14"/>
  <c r="O570" i="14"/>
  <c r="O569" i="14"/>
  <c r="O568" i="14"/>
  <c r="O567" i="14"/>
  <c r="O566" i="14"/>
  <c r="O565" i="14"/>
  <c r="O564" i="14"/>
  <c r="O563" i="14"/>
  <c r="O562" i="14"/>
  <c r="O561" i="14"/>
  <c r="O558" i="14"/>
  <c r="O557" i="14"/>
  <c r="O556" i="14"/>
  <c r="O555" i="14"/>
  <c r="O554" i="14"/>
  <c r="O553" i="14"/>
  <c r="O552" i="14"/>
  <c r="O551" i="14"/>
  <c r="O549" i="14"/>
  <c r="O548" i="14"/>
  <c r="O545" i="14"/>
  <c r="O544" i="14"/>
  <c r="O543" i="14"/>
  <c r="O542" i="14"/>
  <c r="O541" i="14"/>
  <c r="O540" i="14"/>
  <c r="O539" i="14"/>
  <c r="O538" i="14"/>
  <c r="O536" i="14"/>
  <c r="O535" i="14"/>
  <c r="O534" i="14"/>
  <c r="O532" i="14"/>
  <c r="O531" i="14"/>
  <c r="O530" i="14"/>
  <c r="O529" i="14"/>
  <c r="O528" i="14"/>
  <c r="O527" i="14"/>
  <c r="O526" i="14"/>
  <c r="O525" i="14"/>
  <c r="O524" i="14"/>
  <c r="O523" i="14"/>
  <c r="O522" i="14"/>
  <c r="O521" i="14"/>
  <c r="O520" i="14"/>
  <c r="O519" i="14"/>
  <c r="O518" i="14"/>
  <c r="O514" i="14"/>
  <c r="O513" i="14"/>
  <c r="O512" i="14"/>
  <c r="O511" i="14"/>
  <c r="O510" i="14"/>
  <c r="O509" i="14"/>
  <c r="O508" i="14"/>
  <c r="O507" i="14"/>
  <c r="O506" i="14"/>
  <c r="O505" i="14"/>
  <c r="O502" i="14"/>
  <c r="O501" i="14"/>
  <c r="O500" i="14"/>
  <c r="O499" i="14"/>
  <c r="O498" i="14"/>
  <c r="O497" i="14"/>
  <c r="O496" i="14"/>
  <c r="O495" i="14"/>
  <c r="O493" i="14"/>
  <c r="O490" i="14"/>
  <c r="O489" i="14"/>
  <c r="O488" i="14"/>
  <c r="O487" i="14"/>
  <c r="O486" i="14"/>
  <c r="O485" i="14"/>
  <c r="O484" i="14"/>
  <c r="O483" i="14"/>
  <c r="O479" i="14"/>
  <c r="O478" i="14"/>
  <c r="O477" i="14"/>
  <c r="O474" i="14"/>
  <c r="O473" i="14"/>
  <c r="O472" i="14"/>
  <c r="O471" i="14"/>
  <c r="O470" i="14"/>
  <c r="O469" i="14"/>
  <c r="O468" i="14"/>
  <c r="O467" i="14"/>
  <c r="O466" i="14"/>
  <c r="O465" i="14"/>
  <c r="O464" i="14"/>
  <c r="O463" i="14"/>
  <c r="O462" i="14"/>
  <c r="O461" i="14"/>
  <c r="O460" i="14"/>
  <c r="O459" i="14"/>
  <c r="O458" i="14"/>
  <c r="O457" i="14"/>
  <c r="O456" i="14"/>
  <c r="O455" i="14"/>
  <c r="O454" i="14"/>
  <c r="N492" i="14"/>
  <c r="N504" i="14"/>
  <c r="R504" i="14" s="1"/>
  <c r="N547" i="14"/>
  <c r="N560" i="14"/>
  <c r="R560" i="14" s="1"/>
  <c r="N641" i="14"/>
  <c r="N640" i="14" s="1"/>
  <c r="N673" i="14"/>
  <c r="R673" i="14" s="1"/>
  <c r="N699" i="14"/>
  <c r="N750" i="14"/>
  <c r="R750" i="14" s="1"/>
  <c r="R752" i="14"/>
  <c r="N777" i="14"/>
  <c r="N803" i="14"/>
  <c r="R803" i="14" s="1"/>
  <c r="N830" i="14"/>
  <c r="N853" i="14"/>
  <c r="N852" i="14" s="1"/>
  <c r="N834" i="14" s="1"/>
  <c r="N961" i="14"/>
  <c r="N960" i="14" s="1"/>
  <c r="N949" i="14" s="1"/>
  <c r="N857" i="14" s="1"/>
  <c r="K1250" i="14"/>
  <c r="K1242" i="14"/>
  <c r="K1241" i="14"/>
  <c r="K1240" i="14"/>
  <c r="K1237" i="14"/>
  <c r="K1226" i="14"/>
  <c r="K1220" i="14"/>
  <c r="K1219" i="14"/>
  <c r="K1212" i="14"/>
  <c r="K1211" i="14"/>
  <c r="K1210" i="14"/>
  <c r="K1204" i="14"/>
  <c r="K1202" i="14"/>
  <c r="K1200" i="14"/>
  <c r="K1199" i="14"/>
  <c r="K1198" i="14"/>
  <c r="K1195" i="14"/>
  <c r="K1192" i="14"/>
  <c r="K1191" i="14"/>
  <c r="K1183" i="14"/>
  <c r="K1182" i="14"/>
  <c r="K1175" i="14"/>
  <c r="K1174" i="14"/>
  <c r="K1167" i="14"/>
  <c r="K1163" i="14"/>
  <c r="K1162" i="14"/>
  <c r="K1161" i="14"/>
  <c r="K1160" i="14"/>
  <c r="K1159" i="14"/>
  <c r="K1155" i="14"/>
  <c r="K1154" i="14"/>
  <c r="K1153" i="14"/>
  <c r="K1150" i="14"/>
  <c r="K1148" i="14"/>
  <c r="K1144" i="14"/>
  <c r="K1143" i="14"/>
  <c r="K1142" i="14"/>
  <c r="K1141" i="14"/>
  <c r="K1140" i="14"/>
  <c r="K1136" i="14"/>
  <c r="K1135" i="14"/>
  <c r="K1129" i="14"/>
  <c r="K1127" i="14"/>
  <c r="K1125" i="14"/>
  <c r="K1124" i="14"/>
  <c r="K1123" i="14"/>
  <c r="K1115" i="14"/>
  <c r="K1113" i="14"/>
  <c r="K1107" i="14"/>
  <c r="K1105" i="14"/>
  <c r="K1101" i="14"/>
  <c r="K1094" i="14"/>
  <c r="K1092" i="14"/>
  <c r="K1084" i="14"/>
  <c r="K1079" i="14"/>
  <c r="K1073" i="14"/>
  <c r="K1071" i="14"/>
  <c r="K1065" i="14"/>
  <c r="K1049" i="14"/>
  <c r="K1041" i="14"/>
  <c r="K1030" i="14"/>
  <c r="K1022" i="14"/>
  <c r="K1017" i="14"/>
  <c r="K1011" i="14"/>
  <c r="K1000" i="14"/>
  <c r="K992" i="14"/>
  <c r="K962" i="14"/>
  <c r="K961" i="14"/>
  <c r="K960" i="14"/>
  <c r="K957" i="14"/>
  <c r="K953" i="14"/>
  <c r="K948" i="14"/>
  <c r="K947" i="14"/>
  <c r="K946" i="14"/>
  <c r="K944" i="14"/>
  <c r="K942" i="14"/>
  <c r="K941" i="14"/>
  <c r="K939" i="14"/>
  <c r="K938" i="14"/>
  <c r="K936" i="14"/>
  <c r="K935" i="14"/>
  <c r="K933" i="14"/>
  <c r="K932" i="14"/>
  <c r="K930" i="14"/>
  <c r="K929" i="14"/>
  <c r="K928" i="14"/>
  <c r="K926" i="14"/>
  <c r="K924" i="14"/>
  <c r="K923" i="14"/>
  <c r="K921" i="14"/>
  <c r="K920" i="14"/>
  <c r="K919" i="14"/>
  <c r="K917" i="14"/>
  <c r="K915" i="14"/>
  <c r="K914" i="14"/>
  <c r="K912" i="14"/>
  <c r="K911" i="14"/>
  <c r="K909" i="14"/>
  <c r="K908" i="14"/>
  <c r="K906" i="14"/>
  <c r="K905" i="14"/>
  <c r="K903" i="14"/>
  <c r="K902" i="14"/>
  <c r="K901" i="14"/>
  <c r="K900" i="14"/>
  <c r="K897" i="14"/>
  <c r="K896" i="14"/>
  <c r="K892" i="14"/>
  <c r="K887" i="14"/>
  <c r="K881" i="14"/>
  <c r="K878" i="14"/>
  <c r="K874" i="14"/>
  <c r="K871" i="14"/>
  <c r="K856" i="14"/>
  <c r="K855" i="14"/>
  <c r="K854" i="14"/>
  <c r="K853" i="14"/>
  <c r="K852" i="14"/>
  <c r="K844" i="14"/>
  <c r="K843" i="14"/>
  <c r="K840" i="14"/>
  <c r="K836" i="14"/>
  <c r="K835" i="14"/>
  <c r="K832" i="14"/>
  <c r="K831" i="14"/>
  <c r="K830" i="14"/>
  <c r="K826" i="14"/>
  <c r="K825" i="14"/>
  <c r="K824" i="14"/>
  <c r="K823" i="14"/>
  <c r="K822" i="14"/>
  <c r="K816" i="14"/>
  <c r="K813" i="14"/>
  <c r="K812" i="14"/>
  <c r="K806" i="14"/>
  <c r="K805" i="14"/>
  <c r="K804" i="14"/>
  <c r="K803" i="14"/>
  <c r="K802" i="14"/>
  <c r="K799" i="14"/>
  <c r="K798" i="14"/>
  <c r="K796" i="14"/>
  <c r="K795" i="14"/>
  <c r="K791" i="14"/>
  <c r="K790" i="14"/>
  <c r="K788" i="14"/>
  <c r="K787" i="14"/>
  <c r="K781" i="14"/>
  <c r="K780" i="14"/>
  <c r="K778" i="14"/>
  <c r="K777" i="14"/>
  <c r="K776" i="14"/>
  <c r="K771" i="14"/>
  <c r="K769" i="14"/>
  <c r="K767" i="14"/>
  <c r="K766" i="14"/>
  <c r="K762" i="14"/>
  <c r="K760" i="14"/>
  <c r="K759" i="14"/>
  <c r="K756" i="14"/>
  <c r="K753" i="14"/>
  <c r="K752" i="14"/>
  <c r="K751" i="14"/>
  <c r="K750" i="14"/>
  <c r="K749" i="14"/>
  <c r="K747" i="14"/>
  <c r="K745" i="14"/>
  <c r="K744" i="14"/>
  <c r="K741" i="14"/>
  <c r="K739" i="14"/>
  <c r="K738" i="14"/>
  <c r="K735" i="14"/>
  <c r="K734" i="14"/>
  <c r="K733" i="14"/>
  <c r="K730" i="14"/>
  <c r="K719" i="14"/>
  <c r="K715" i="14"/>
  <c r="K713" i="14"/>
  <c r="K712" i="14"/>
  <c r="K709" i="14"/>
  <c r="K705" i="14"/>
  <c r="K703" i="14"/>
  <c r="K702" i="14"/>
  <c r="K700" i="14"/>
  <c r="K699" i="14"/>
  <c r="K698" i="14"/>
  <c r="K696" i="14"/>
  <c r="K693" i="14"/>
  <c r="K690" i="14"/>
  <c r="K686" i="14"/>
  <c r="K680" i="14"/>
  <c r="K679" i="14"/>
  <c r="K676" i="14"/>
  <c r="K675" i="14"/>
  <c r="K674" i="14"/>
  <c r="K673" i="14"/>
  <c r="K672" i="14"/>
  <c r="K670" i="14"/>
  <c r="K669" i="14"/>
  <c r="K668" i="14"/>
  <c r="K667" i="14"/>
  <c r="K666" i="14"/>
  <c r="K665" i="14"/>
  <c r="K664" i="14"/>
  <c r="K662" i="14"/>
  <c r="K661" i="14"/>
  <c r="K660" i="14"/>
  <c r="K659" i="14"/>
  <c r="K658" i="14"/>
  <c r="K657" i="14"/>
  <c r="K656" i="14"/>
  <c r="K655" i="14"/>
  <c r="K654" i="14"/>
  <c r="K652" i="14"/>
  <c r="K651" i="14"/>
  <c r="K648" i="14"/>
  <c r="K647" i="14"/>
  <c r="K645" i="14"/>
  <c r="K642" i="14"/>
  <c r="K641" i="14"/>
  <c r="K640" i="14"/>
  <c r="K639" i="14"/>
  <c r="K638" i="14"/>
  <c r="K637" i="14"/>
  <c r="K634" i="14"/>
  <c r="K632" i="14"/>
  <c r="K631" i="14"/>
  <c r="K629" i="14"/>
  <c r="K628" i="14"/>
  <c r="K627" i="14"/>
  <c r="K626" i="14"/>
  <c r="K624" i="14"/>
  <c r="K622" i="14"/>
  <c r="K621" i="14"/>
  <c r="K619" i="14"/>
  <c r="K618" i="14"/>
  <c r="K615" i="14"/>
  <c r="K613" i="14"/>
  <c r="K612" i="14"/>
  <c r="K610" i="14"/>
  <c r="K609" i="14"/>
  <c r="K608" i="14"/>
  <c r="K606" i="14"/>
  <c r="K604" i="14"/>
  <c r="K603" i="14"/>
  <c r="K598" i="14"/>
  <c r="K597" i="14"/>
  <c r="K596" i="14"/>
  <c r="K594" i="14"/>
  <c r="K592" i="14"/>
  <c r="K591" i="14"/>
  <c r="K589" i="14"/>
  <c r="K588" i="14"/>
  <c r="K586" i="14"/>
  <c r="K584" i="14"/>
  <c r="K582" i="14"/>
  <c r="K581" i="14"/>
  <c r="K579" i="14"/>
  <c r="K578" i="14"/>
  <c r="K575" i="14"/>
  <c r="K573" i="14"/>
  <c r="K572" i="14"/>
  <c r="K570" i="14"/>
  <c r="K569" i="14"/>
  <c r="K568" i="14"/>
  <c r="K566" i="14"/>
  <c r="K564" i="14"/>
  <c r="K563" i="14"/>
  <c r="K561" i="14"/>
  <c r="K560" i="14"/>
  <c r="K559" i="14"/>
  <c r="K558" i="14"/>
  <c r="K557" i="14"/>
  <c r="K554" i="14"/>
  <c r="K552" i="14"/>
  <c r="K551" i="14"/>
  <c r="K549" i="14"/>
  <c r="K548" i="14"/>
  <c r="K547" i="14"/>
  <c r="K546" i="14"/>
  <c r="K545" i="14"/>
  <c r="K544" i="14"/>
  <c r="K541" i="14"/>
  <c r="K539" i="14"/>
  <c r="K538" i="14"/>
  <c r="K536" i="14"/>
  <c r="K535" i="14"/>
  <c r="K534" i="14"/>
  <c r="K531" i="14"/>
  <c r="K529" i="14"/>
  <c r="K528" i="14"/>
  <c r="K526" i="14"/>
  <c r="K525" i="14"/>
  <c r="K522" i="14"/>
  <c r="K520" i="14"/>
  <c r="K519" i="14"/>
  <c r="K514" i="14"/>
  <c r="K513" i="14"/>
  <c r="K512" i="14"/>
  <c r="K510" i="14"/>
  <c r="K508" i="14"/>
  <c r="K507" i="14"/>
  <c r="K505" i="14"/>
  <c r="K504" i="14"/>
  <c r="K503" i="14"/>
  <c r="K502" i="14"/>
  <c r="K501" i="14"/>
  <c r="K498" i="14"/>
  <c r="K496" i="14"/>
  <c r="K495" i="14"/>
  <c r="K493" i="14"/>
  <c r="K492" i="14"/>
  <c r="K491" i="14"/>
  <c r="K490" i="14"/>
  <c r="K489" i="14"/>
  <c r="K488" i="14"/>
  <c r="K486" i="14"/>
  <c r="K484" i="14"/>
  <c r="K483" i="14"/>
  <c r="K479" i="14"/>
  <c r="K478" i="14"/>
  <c r="K474" i="14"/>
  <c r="K473" i="14"/>
  <c r="K472" i="14"/>
  <c r="K470" i="14"/>
  <c r="K469" i="14"/>
  <c r="K467" i="14"/>
  <c r="K466" i="14"/>
  <c r="J623" i="14"/>
  <c r="J455" i="14"/>
  <c r="J468" i="14"/>
  <c r="J465" i="14" s="1"/>
  <c r="R477" i="14"/>
  <c r="J485" i="14"/>
  <c r="J497" i="14"/>
  <c r="J509" i="14"/>
  <c r="J521" i="14"/>
  <c r="J518" i="14" s="1"/>
  <c r="R518" i="14" s="1"/>
  <c r="J530" i="14"/>
  <c r="J540" i="14"/>
  <c r="J537" i="14" s="1"/>
  <c r="J553" i="14"/>
  <c r="J565" i="14"/>
  <c r="J562" i="14" s="1"/>
  <c r="J574" i="14"/>
  <c r="J583" i="14"/>
  <c r="J593" i="14"/>
  <c r="J605" i="14"/>
  <c r="J614" i="14"/>
  <c r="J633" i="14"/>
  <c r="R644" i="14"/>
  <c r="J653" i="14"/>
  <c r="J663" i="14"/>
  <c r="J681" i="14"/>
  <c r="J689" i="14"/>
  <c r="R689" i="14" s="1"/>
  <c r="J714" i="14"/>
  <c r="R714" i="14" s="1"/>
  <c r="J729" i="14"/>
  <c r="J740" i="14"/>
  <c r="R740" i="14" s="1"/>
  <c r="J768" i="14"/>
  <c r="R768" i="14" s="1"/>
  <c r="R792" i="14"/>
  <c r="J811" i="14"/>
  <c r="J821" i="14"/>
  <c r="R821" i="14" s="1"/>
  <c r="J837" i="14"/>
  <c r="J845" i="14"/>
  <c r="R845" i="14" s="1"/>
  <c r="J870" i="14"/>
  <c r="J867" i="14" s="1"/>
  <c r="R867" i="14" s="1"/>
  <c r="J891" i="14"/>
  <c r="R891" i="14" s="1"/>
  <c r="J898" i="14"/>
  <c r="J907" i="14"/>
  <c r="J916" i="14"/>
  <c r="J913" i="14" s="1"/>
  <c r="R913" i="14" s="1"/>
  <c r="J925" i="14"/>
  <c r="J934" i="14"/>
  <c r="J943" i="14"/>
  <c r="J966" i="14"/>
  <c r="J977" i="14"/>
  <c r="R977" i="14" s="1"/>
  <c r="J988" i="14"/>
  <c r="J996" i="14"/>
  <c r="J1007" i="14"/>
  <c r="J1018" i="14"/>
  <c r="J1026" i="14"/>
  <c r="J1037" i="14"/>
  <c r="J1045" i="14"/>
  <c r="J1053" i="14"/>
  <c r="J1061" i="14"/>
  <c r="R1061" i="14" s="1"/>
  <c r="J1069" i="14"/>
  <c r="J1077" i="14"/>
  <c r="R1077" i="14" s="1"/>
  <c r="J1085" i="14"/>
  <c r="R1085" i="14" s="1"/>
  <c r="J1093" i="14"/>
  <c r="J1102" i="14"/>
  <c r="R1102" i="14" s="1"/>
  <c r="J1110" i="14"/>
  <c r="R1110" i="14" s="1"/>
  <c r="J1126" i="14"/>
  <c r="R1126" i="14" s="1"/>
  <c r="J1145" i="14"/>
  <c r="R1145" i="14" s="1"/>
  <c r="J1152" i="14"/>
  <c r="R1152" i="14" s="1"/>
  <c r="J1156" i="14"/>
  <c r="R1156" i="14" s="1"/>
  <c r="J1193" i="14"/>
  <c r="R1193" i="14" s="1"/>
  <c r="J1201" i="14"/>
  <c r="R1201" i="14" s="1"/>
  <c r="J1209" i="14"/>
  <c r="R1209" i="14" s="1"/>
  <c r="J1221" i="14"/>
  <c r="R1221" i="14" s="1"/>
  <c r="J1229" i="14"/>
  <c r="J1228" i="14" s="1"/>
  <c r="J1234" i="14"/>
  <c r="R1234" i="14" s="1"/>
  <c r="J1239" i="14"/>
  <c r="R1239" i="14" s="1"/>
  <c r="J1244" i="14"/>
  <c r="J1243" i="14" s="1"/>
  <c r="R1243" i="14" s="1"/>
  <c r="J1249" i="14"/>
  <c r="R1249" i="14" s="1"/>
  <c r="R346" i="14"/>
  <c r="R347" i="14"/>
  <c r="R351" i="14"/>
  <c r="R352" i="14"/>
  <c r="R356" i="14"/>
  <c r="R359" i="14"/>
  <c r="R361" i="14"/>
  <c r="R362" i="14"/>
  <c r="R364" i="14"/>
  <c r="R365" i="14"/>
  <c r="R366" i="14"/>
  <c r="R367" i="14"/>
  <c r="R368" i="14"/>
  <c r="R369" i="14"/>
  <c r="R370" i="14"/>
  <c r="R373" i="14"/>
  <c r="R376" i="14"/>
  <c r="R377" i="14"/>
  <c r="R378" i="14"/>
  <c r="R379" i="14"/>
  <c r="R382" i="14"/>
  <c r="R386" i="14"/>
  <c r="R387" i="14"/>
  <c r="R388" i="14"/>
  <c r="R389" i="14"/>
  <c r="R390" i="14"/>
  <c r="R391" i="14"/>
  <c r="R392" i="14"/>
  <c r="R393" i="14"/>
  <c r="R394" i="14"/>
  <c r="R395" i="14"/>
  <c r="R396" i="14"/>
  <c r="R397" i="14"/>
  <c r="R398" i="14"/>
  <c r="R399" i="14"/>
  <c r="R400" i="14"/>
  <c r="R401" i="14"/>
  <c r="R403" i="14"/>
  <c r="R404" i="14"/>
  <c r="R405" i="14"/>
  <c r="R406" i="14"/>
  <c r="R407" i="14"/>
  <c r="R408" i="14"/>
  <c r="R409" i="14"/>
  <c r="R410" i="14"/>
  <c r="R411" i="14"/>
  <c r="R412" i="14"/>
  <c r="R413" i="14"/>
  <c r="R414" i="14"/>
  <c r="R415" i="14"/>
  <c r="R416" i="14"/>
  <c r="R417" i="14"/>
  <c r="R418" i="14"/>
  <c r="R419" i="14"/>
  <c r="R421" i="14"/>
  <c r="R422" i="14"/>
  <c r="R423" i="14"/>
  <c r="R424" i="14"/>
  <c r="R425" i="14"/>
  <c r="R426" i="14"/>
  <c r="O442" i="14"/>
  <c r="S442" i="14" s="1"/>
  <c r="O441" i="14"/>
  <c r="S441" i="14" s="1"/>
  <c r="O437" i="14"/>
  <c r="S437" i="14" s="1"/>
  <c r="O436" i="14"/>
  <c r="S436" i="14" s="1"/>
  <c r="O435" i="14"/>
  <c r="S435" i="14" s="1"/>
  <c r="O434" i="14"/>
  <c r="S434" i="14" s="1"/>
  <c r="O432" i="14"/>
  <c r="S432" i="14" s="1"/>
  <c r="O429" i="14"/>
  <c r="S429" i="14" s="1"/>
  <c r="O428" i="14"/>
  <c r="S428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19" i="14"/>
  <c r="S419" i="14" s="1"/>
  <c r="O418" i="14"/>
  <c r="S418" i="14" s="1"/>
  <c r="O417" i="14"/>
  <c r="S417" i="14" s="1"/>
  <c r="O416" i="14"/>
  <c r="S416" i="14" s="1"/>
  <c r="O415" i="14"/>
  <c r="S415" i="14" s="1"/>
  <c r="O414" i="14"/>
  <c r="S414" i="14" s="1"/>
  <c r="O413" i="14"/>
  <c r="S413" i="14" s="1"/>
  <c r="O412" i="14"/>
  <c r="S412" i="14" s="1"/>
  <c r="O411" i="14"/>
  <c r="S411" i="14" s="1"/>
  <c r="O410" i="14"/>
  <c r="S410" i="14" s="1"/>
  <c r="O409" i="14"/>
  <c r="S409" i="14" s="1"/>
  <c r="O408" i="14"/>
  <c r="S408" i="14" s="1"/>
  <c r="O407" i="14"/>
  <c r="S407" i="14" s="1"/>
  <c r="O406" i="14"/>
  <c r="S406" i="14" s="1"/>
  <c r="O405" i="14"/>
  <c r="S405" i="14" s="1"/>
  <c r="O404" i="14"/>
  <c r="S404" i="14" s="1"/>
  <c r="O403" i="14"/>
  <c r="S403" i="14" s="1"/>
  <c r="O401" i="14"/>
  <c r="S401" i="14" s="1"/>
  <c r="O400" i="14"/>
  <c r="S400" i="14" s="1"/>
  <c r="O399" i="14"/>
  <c r="S399" i="14" s="1"/>
  <c r="O398" i="14"/>
  <c r="S398" i="14" s="1"/>
  <c r="O396" i="14"/>
  <c r="S396" i="14" s="1"/>
  <c r="O395" i="14"/>
  <c r="S395" i="14" s="1"/>
  <c r="O394" i="14"/>
  <c r="S394" i="14" s="1"/>
  <c r="O393" i="14"/>
  <c r="S393" i="14" s="1"/>
  <c r="O392" i="14"/>
  <c r="S392" i="14" s="1"/>
  <c r="O391" i="14"/>
  <c r="S391" i="14" s="1"/>
  <c r="O390" i="14"/>
  <c r="S390" i="14" s="1"/>
  <c r="O389" i="14"/>
  <c r="S389" i="14" s="1"/>
  <c r="O388" i="14"/>
  <c r="S388" i="14" s="1"/>
  <c r="O386" i="14"/>
  <c r="S386" i="14" s="1"/>
  <c r="O382" i="14"/>
  <c r="O379" i="14"/>
  <c r="O378" i="14"/>
  <c r="O377" i="14"/>
  <c r="O376" i="14"/>
  <c r="O375" i="14"/>
  <c r="O373" i="14"/>
  <c r="O370" i="14"/>
  <c r="O369" i="14"/>
  <c r="O368" i="14"/>
  <c r="O367" i="14"/>
  <c r="O366" i="14"/>
  <c r="O365" i="14"/>
  <c r="O364" i="14"/>
  <c r="O363" i="14"/>
  <c r="O362" i="14"/>
  <c r="O361" i="14"/>
  <c r="O359" i="14"/>
  <c r="O356" i="14"/>
  <c r="O355" i="14"/>
  <c r="O352" i="14"/>
  <c r="O351" i="14"/>
  <c r="O347" i="14"/>
  <c r="O346" i="14"/>
  <c r="O345" i="14"/>
  <c r="N350" i="14"/>
  <c r="N349" i="14" s="1"/>
  <c r="N344" i="14" s="1"/>
  <c r="N357" i="14"/>
  <c r="R357" i="14" s="1"/>
  <c r="N372" i="14"/>
  <c r="N381" i="14"/>
  <c r="N380" i="14" s="1"/>
  <c r="N374" i="14" s="1"/>
  <c r="N385" i="14"/>
  <c r="R385" i="14" s="1"/>
  <c r="N420" i="14"/>
  <c r="R420" i="14" s="1"/>
  <c r="K385" i="14"/>
  <c r="K384" i="14"/>
  <c r="K383" i="14"/>
  <c r="K382" i="14"/>
  <c r="K381" i="14"/>
  <c r="K380" i="14"/>
  <c r="K379" i="14"/>
  <c r="K377" i="14"/>
  <c r="K376" i="14"/>
  <c r="K373" i="14"/>
  <c r="K372" i="14"/>
  <c r="K371" i="14"/>
  <c r="K368" i="14"/>
  <c r="K364" i="14"/>
  <c r="K362" i="14"/>
  <c r="K361" i="14"/>
  <c r="K359" i="14"/>
  <c r="K358" i="14"/>
  <c r="K357" i="14"/>
  <c r="K356" i="14"/>
  <c r="K352" i="14"/>
  <c r="K351" i="14"/>
  <c r="K350" i="14"/>
  <c r="K349" i="14"/>
  <c r="K347" i="14"/>
  <c r="K346" i="14"/>
  <c r="R345" i="14"/>
  <c r="J355" i="14"/>
  <c r="R355" i="14" s="1"/>
  <c r="J363" i="14"/>
  <c r="J375" i="14"/>
  <c r="J374" i="14" s="1"/>
  <c r="R273" i="14"/>
  <c r="R274" i="14"/>
  <c r="R276" i="14"/>
  <c r="R277" i="14"/>
  <c r="R278" i="14"/>
  <c r="R279" i="14"/>
  <c r="R280" i="14"/>
  <c r="R281" i="14"/>
  <c r="R282" i="14"/>
  <c r="R283" i="14"/>
  <c r="R290" i="14"/>
  <c r="R294" i="14"/>
  <c r="R295" i="14"/>
  <c r="R296" i="14"/>
  <c r="R297" i="14"/>
  <c r="R299" i="14"/>
  <c r="R301" i="14"/>
  <c r="R302" i="14"/>
  <c r="R304" i="14"/>
  <c r="R305" i="14"/>
  <c r="R306" i="14"/>
  <c r="R307" i="14"/>
  <c r="R308" i="14"/>
  <c r="R309" i="14"/>
  <c r="R312" i="14"/>
  <c r="R317" i="14"/>
  <c r="R320" i="14"/>
  <c r="R323" i="14"/>
  <c r="R324" i="14"/>
  <c r="R325" i="14"/>
  <c r="R327" i="14"/>
  <c r="R329" i="14"/>
  <c r="R330" i="14"/>
  <c r="R331" i="14"/>
  <c r="R333" i="14"/>
  <c r="R334" i="14"/>
  <c r="O334" i="14"/>
  <c r="O333" i="14"/>
  <c r="O332" i="14"/>
  <c r="O331" i="14"/>
  <c r="O330" i="14"/>
  <c r="O329" i="14"/>
  <c r="O328" i="14"/>
  <c r="O327" i="14"/>
  <c r="O326" i="14"/>
  <c r="O325" i="14"/>
  <c r="O324" i="14"/>
  <c r="O323" i="14"/>
  <c r="O322" i="14"/>
  <c r="O321" i="14"/>
  <c r="O320" i="14"/>
  <c r="O317" i="14"/>
  <c r="O316" i="14"/>
  <c r="O312" i="14"/>
  <c r="O309" i="14"/>
  <c r="O308" i="14"/>
  <c r="O307" i="14"/>
  <c r="O306" i="14"/>
  <c r="O305" i="14"/>
  <c r="O304" i="14"/>
  <c r="O303" i="14"/>
  <c r="O302" i="14"/>
  <c r="O301" i="14"/>
  <c r="O297" i="14"/>
  <c r="O296" i="14"/>
  <c r="O295" i="14"/>
  <c r="O294" i="14"/>
  <c r="O290" i="14"/>
  <c r="O283" i="14"/>
  <c r="O282" i="14"/>
  <c r="O281" i="14"/>
  <c r="O280" i="14"/>
  <c r="O279" i="14"/>
  <c r="O278" i="14"/>
  <c r="O277" i="14"/>
  <c r="O276" i="14"/>
  <c r="O275" i="14"/>
  <c r="O274" i="14"/>
  <c r="O273" i="14"/>
  <c r="N289" i="14"/>
  <c r="N284" i="14" s="1"/>
  <c r="N293" i="14"/>
  <c r="R293" i="14" s="1"/>
  <c r="N298" i="14"/>
  <c r="R298" i="14" s="1"/>
  <c r="N311" i="14"/>
  <c r="N310" i="14" s="1"/>
  <c r="N319" i="14"/>
  <c r="N318" i="14" s="1"/>
  <c r="K334" i="14"/>
  <c r="S334" i="14" s="1"/>
  <c r="K333" i="14"/>
  <c r="S333" i="14" s="1"/>
  <c r="K331" i="14"/>
  <c r="K330" i="14"/>
  <c r="K329" i="14"/>
  <c r="K327" i="14"/>
  <c r="K324" i="14"/>
  <c r="S324" i="14" s="1"/>
  <c r="K323" i="14"/>
  <c r="K320" i="14"/>
  <c r="K319" i="14"/>
  <c r="K318" i="14"/>
  <c r="K317" i="14"/>
  <c r="K312" i="14"/>
  <c r="K311" i="14"/>
  <c r="K310" i="14"/>
  <c r="K309" i="14"/>
  <c r="K308" i="14"/>
  <c r="K307" i="14"/>
  <c r="K306" i="14"/>
  <c r="K305" i="14"/>
  <c r="K304" i="14"/>
  <c r="K302" i="14"/>
  <c r="K301" i="14"/>
  <c r="K299" i="14"/>
  <c r="K298" i="14"/>
  <c r="K297" i="14"/>
  <c r="K296" i="14"/>
  <c r="K295" i="14"/>
  <c r="K294" i="14"/>
  <c r="K293" i="14"/>
  <c r="K292" i="14"/>
  <c r="K290" i="14"/>
  <c r="K289" i="14"/>
  <c r="K284" i="14"/>
  <c r="K281" i="14"/>
  <c r="S281" i="14" s="1"/>
  <c r="K278" i="14"/>
  <c r="K277" i="14"/>
  <c r="J275" i="14"/>
  <c r="R275" i="14" s="1"/>
  <c r="J303" i="14"/>
  <c r="J300" i="14" s="1"/>
  <c r="J316" i="14"/>
  <c r="J322" i="14"/>
  <c r="J321" i="14" s="1"/>
  <c r="R321" i="14" s="1"/>
  <c r="J328" i="14"/>
  <c r="R328" i="14" s="1"/>
  <c r="J332" i="14"/>
  <c r="R332" i="14" s="1"/>
  <c r="R195" i="14"/>
  <c r="R196" i="14"/>
  <c r="R198" i="14"/>
  <c r="R199" i="14"/>
  <c r="R201" i="14"/>
  <c r="R202" i="14"/>
  <c r="R204" i="14"/>
  <c r="R205" i="14"/>
  <c r="R206" i="14"/>
  <c r="R207" i="14"/>
  <c r="R208" i="14"/>
  <c r="R209" i="14"/>
  <c r="R212" i="14"/>
  <c r="R213" i="14"/>
  <c r="R215" i="14"/>
  <c r="R216" i="14"/>
  <c r="R217" i="14"/>
  <c r="R218" i="14"/>
  <c r="R219" i="14"/>
  <c r="R222" i="14"/>
  <c r="R223" i="14"/>
  <c r="R225" i="14"/>
  <c r="R226" i="14"/>
  <c r="R227" i="14"/>
  <c r="R228" i="14"/>
  <c r="R229" i="14"/>
  <c r="R232" i="14"/>
  <c r="R235" i="14"/>
  <c r="R236" i="14"/>
  <c r="R238" i="14"/>
  <c r="R239" i="14"/>
  <c r="R240" i="14"/>
  <c r="R241" i="14"/>
  <c r="R242" i="14"/>
  <c r="R243" i="14"/>
  <c r="R246" i="14"/>
  <c r="R247" i="14"/>
  <c r="R248" i="14"/>
  <c r="R249" i="14"/>
  <c r="R252" i="14"/>
  <c r="R254" i="14"/>
  <c r="R255" i="14"/>
  <c r="R259" i="14"/>
  <c r="R260" i="14"/>
  <c r="R261" i="14"/>
  <c r="R262" i="14"/>
  <c r="O262" i="14"/>
  <c r="O261" i="14"/>
  <c r="O260" i="14"/>
  <c r="O259" i="14"/>
  <c r="O258" i="14"/>
  <c r="O257" i="14"/>
  <c r="O256" i="14"/>
  <c r="O255" i="14"/>
  <c r="O254" i="14"/>
  <c r="S254" i="14" s="1"/>
  <c r="O252" i="14"/>
  <c r="O249" i="14"/>
  <c r="O248" i="14"/>
  <c r="O247" i="14"/>
  <c r="O246" i="14"/>
  <c r="O245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29" i="14"/>
  <c r="O228" i="14"/>
  <c r="O227" i="14"/>
  <c r="O226" i="14"/>
  <c r="O225" i="14"/>
  <c r="O224" i="14"/>
  <c r="O223" i="14"/>
  <c r="O222" i="14"/>
  <c r="O219" i="14"/>
  <c r="O218" i="14"/>
  <c r="O217" i="14"/>
  <c r="O216" i="14"/>
  <c r="O215" i="14"/>
  <c r="O214" i="14"/>
  <c r="O213" i="14"/>
  <c r="O212" i="14"/>
  <c r="O211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N231" i="14"/>
  <c r="N251" i="14"/>
  <c r="R251" i="14" s="1"/>
  <c r="N253" i="14"/>
  <c r="R253" i="14" s="1"/>
  <c r="K262" i="14"/>
  <c r="K261" i="14"/>
  <c r="K260" i="14"/>
  <c r="K259" i="14"/>
  <c r="K255" i="14"/>
  <c r="S255" i="14" s="1"/>
  <c r="K254" i="14"/>
  <c r="K253" i="14"/>
  <c r="K252" i="14"/>
  <c r="K251" i="14"/>
  <c r="K250" i="14"/>
  <c r="K249" i="14"/>
  <c r="K248" i="14"/>
  <c r="K247" i="14"/>
  <c r="K246" i="14"/>
  <c r="K242" i="14"/>
  <c r="K238" i="14"/>
  <c r="K236" i="14"/>
  <c r="K235" i="14"/>
  <c r="K232" i="14"/>
  <c r="K231" i="14"/>
  <c r="K230" i="14"/>
  <c r="K228" i="14"/>
  <c r="S228" i="14" s="1"/>
  <c r="K227" i="14"/>
  <c r="S227" i="14" s="1"/>
  <c r="K223" i="14"/>
  <c r="K222" i="14"/>
  <c r="K219" i="14"/>
  <c r="K218" i="14"/>
  <c r="K217" i="14"/>
  <c r="K216" i="14"/>
  <c r="K215" i="14"/>
  <c r="K213" i="14"/>
  <c r="K212" i="14"/>
  <c r="S212" i="14" s="1"/>
  <c r="K209" i="14"/>
  <c r="K207" i="14"/>
  <c r="K206" i="14"/>
  <c r="K205" i="14"/>
  <c r="K199" i="14"/>
  <c r="K198" i="14"/>
  <c r="K196" i="14"/>
  <c r="K195" i="14"/>
  <c r="S195" i="14" s="1"/>
  <c r="J197" i="14"/>
  <c r="J194" i="14" s="1"/>
  <c r="R194" i="14" s="1"/>
  <c r="J203" i="14"/>
  <c r="J214" i="14"/>
  <c r="J211" i="14" s="1"/>
  <c r="R211" i="14" s="1"/>
  <c r="J224" i="14"/>
  <c r="J221" i="14" s="1"/>
  <c r="J220" i="14" s="1"/>
  <c r="J237" i="14"/>
  <c r="J245" i="14"/>
  <c r="J258" i="14"/>
  <c r="J257" i="14" s="1"/>
  <c r="J256" i="14" s="1"/>
  <c r="R256" i="14" s="1"/>
  <c r="R104" i="14"/>
  <c r="R108" i="14"/>
  <c r="R111" i="14"/>
  <c r="R112" i="14"/>
  <c r="R115" i="14"/>
  <c r="R118" i="14"/>
  <c r="R119" i="14"/>
  <c r="R122" i="14"/>
  <c r="R123" i="14"/>
  <c r="R126" i="14"/>
  <c r="R127" i="14"/>
  <c r="R130" i="14"/>
  <c r="R131" i="14"/>
  <c r="R132" i="14"/>
  <c r="R133" i="14"/>
  <c r="R136" i="14"/>
  <c r="R137" i="14"/>
  <c r="R138" i="14"/>
  <c r="R140" i="14"/>
  <c r="R141" i="14"/>
  <c r="R143" i="14"/>
  <c r="R146" i="14"/>
  <c r="R147" i="14"/>
  <c r="R149" i="14"/>
  <c r="R150" i="14"/>
  <c r="R151" i="14"/>
  <c r="R152" i="14"/>
  <c r="R154" i="14"/>
  <c r="R155" i="14"/>
  <c r="R156" i="14"/>
  <c r="R163" i="14"/>
  <c r="R165" i="14"/>
  <c r="R168" i="14"/>
  <c r="R169" i="14"/>
  <c r="R170" i="14"/>
  <c r="R171" i="14"/>
  <c r="R172" i="14"/>
  <c r="R173" i="14"/>
  <c r="R176" i="14"/>
  <c r="R177" i="14"/>
  <c r="R179" i="14"/>
  <c r="R180" i="14"/>
  <c r="R183" i="14"/>
  <c r="R184" i="14"/>
  <c r="O184" i="14"/>
  <c r="O183" i="14"/>
  <c r="O182" i="14"/>
  <c r="O181" i="14"/>
  <c r="O180" i="14"/>
  <c r="O179" i="14"/>
  <c r="O177" i="14"/>
  <c r="O176" i="14"/>
  <c r="O173" i="14"/>
  <c r="O172" i="14"/>
  <c r="O171" i="14"/>
  <c r="O170" i="14"/>
  <c r="O169" i="14"/>
  <c r="O168" i="14"/>
  <c r="O167" i="14"/>
  <c r="O165" i="14"/>
  <c r="O164" i="14"/>
  <c r="O163" i="14"/>
  <c r="O162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3" i="14"/>
  <c r="O140" i="14"/>
  <c r="O138" i="14"/>
  <c r="O137" i="14"/>
  <c r="O136" i="14"/>
  <c r="O133" i="14"/>
  <c r="O132" i="14"/>
  <c r="O131" i="14"/>
  <c r="O130" i="14"/>
  <c r="O129" i="14"/>
  <c r="O127" i="14"/>
  <c r="O126" i="14"/>
  <c r="O125" i="14"/>
  <c r="O124" i="14"/>
  <c r="O123" i="14"/>
  <c r="O122" i="14"/>
  <c r="O119" i="14"/>
  <c r="O118" i="14"/>
  <c r="O117" i="14"/>
  <c r="O115" i="14"/>
  <c r="O112" i="14"/>
  <c r="O111" i="14"/>
  <c r="O110" i="14"/>
  <c r="O108" i="14"/>
  <c r="O107" i="14"/>
  <c r="O106" i="14"/>
  <c r="O104" i="14"/>
  <c r="O103" i="14"/>
  <c r="O102" i="14"/>
  <c r="N114" i="14"/>
  <c r="N113" i="14" s="1"/>
  <c r="N121" i="14"/>
  <c r="N135" i="14"/>
  <c r="R135" i="14" s="1"/>
  <c r="N175" i="14"/>
  <c r="R175" i="14" s="1"/>
  <c r="N178" i="14"/>
  <c r="K180" i="14"/>
  <c r="K179" i="14"/>
  <c r="K178" i="14"/>
  <c r="K177" i="14"/>
  <c r="K176" i="14"/>
  <c r="K175" i="14"/>
  <c r="K174" i="14"/>
  <c r="K173" i="14"/>
  <c r="K172" i="14"/>
  <c r="K171" i="14"/>
  <c r="K170" i="14"/>
  <c r="K168" i="14"/>
  <c r="K165" i="14"/>
  <c r="K163" i="14"/>
  <c r="K156" i="14"/>
  <c r="K155" i="14"/>
  <c r="K154" i="14"/>
  <c r="K152" i="14"/>
  <c r="K151" i="14"/>
  <c r="K150" i="14"/>
  <c r="K149" i="14"/>
  <c r="K147" i="14"/>
  <c r="K146" i="14"/>
  <c r="K143" i="14"/>
  <c r="K141" i="14"/>
  <c r="K140" i="14"/>
  <c r="K139" i="14"/>
  <c r="K138" i="14"/>
  <c r="K137" i="14"/>
  <c r="K136" i="14"/>
  <c r="K135" i="14"/>
  <c r="K134" i="14"/>
  <c r="K133" i="14"/>
  <c r="K132" i="14"/>
  <c r="K131" i="14"/>
  <c r="K130" i="14"/>
  <c r="K127" i="14"/>
  <c r="K126" i="14"/>
  <c r="K123" i="14"/>
  <c r="K122" i="14"/>
  <c r="K121" i="14"/>
  <c r="K120" i="14"/>
  <c r="K119" i="14"/>
  <c r="K115" i="14"/>
  <c r="K114" i="14"/>
  <c r="K113" i="14"/>
  <c r="K112" i="14"/>
  <c r="K111" i="14"/>
  <c r="K108" i="14"/>
  <c r="K104" i="14"/>
  <c r="J103" i="14"/>
  <c r="J107" i="14"/>
  <c r="J106" i="14" s="1"/>
  <c r="R106" i="14" s="1"/>
  <c r="J110" i="14"/>
  <c r="J109" i="14" s="1"/>
  <c r="J117" i="14"/>
  <c r="J125" i="14"/>
  <c r="J129" i="14"/>
  <c r="J128" i="14" s="1"/>
  <c r="J148" i="14"/>
  <c r="R148" i="14" s="1"/>
  <c r="J153" i="14"/>
  <c r="J162" i="14"/>
  <c r="J164" i="14"/>
  <c r="R164" i="14" s="1"/>
  <c r="J167" i="14"/>
  <c r="J166" i="14" s="1"/>
  <c r="J182" i="14"/>
  <c r="R82" i="14"/>
  <c r="R84" i="14"/>
  <c r="R85" i="14"/>
  <c r="R87" i="14"/>
  <c r="R90" i="14"/>
  <c r="R92" i="14"/>
  <c r="K90" i="14"/>
  <c r="S90" i="14" s="1"/>
  <c r="K85" i="14"/>
  <c r="S85" i="14" s="1"/>
  <c r="K82" i="14"/>
  <c r="S82" i="14" s="1"/>
  <c r="J81" i="14"/>
  <c r="R81" i="14" s="1"/>
  <c r="J83" i="14"/>
  <c r="R83" i="14" s="1"/>
  <c r="J86" i="14"/>
  <c r="R86" i="14" s="1"/>
  <c r="J89" i="14"/>
  <c r="R89" i="14" s="1"/>
  <c r="J91" i="14"/>
  <c r="R91" i="14" s="1"/>
  <c r="R13" i="14"/>
  <c r="R14" i="14"/>
  <c r="R15" i="14"/>
  <c r="R16" i="14"/>
  <c r="R17" i="14"/>
  <c r="R20" i="14"/>
  <c r="R23" i="14"/>
  <c r="R25" i="14"/>
  <c r="R27" i="14"/>
  <c r="R28" i="14"/>
  <c r="R29" i="14"/>
  <c r="R30" i="14"/>
  <c r="R34" i="14"/>
  <c r="R35" i="14"/>
  <c r="R36" i="14"/>
  <c r="R37" i="14"/>
  <c r="R40" i="14"/>
  <c r="R41" i="14"/>
  <c r="R43" i="14"/>
  <c r="R44" i="14"/>
  <c r="R48" i="14"/>
  <c r="R49" i="14"/>
  <c r="R53" i="14"/>
  <c r="R55" i="14"/>
  <c r="R56" i="14"/>
  <c r="R57" i="14"/>
  <c r="R58" i="14"/>
  <c r="R60" i="14"/>
  <c r="R62" i="14"/>
  <c r="R63" i="14"/>
  <c r="R64" i="14"/>
  <c r="R66" i="14"/>
  <c r="R69" i="14"/>
  <c r="R70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49" i="14"/>
  <c r="O48" i="14"/>
  <c r="O47" i="14"/>
  <c r="O44" i="14"/>
  <c r="O43" i="14"/>
  <c r="O41" i="14"/>
  <c r="O37" i="14"/>
  <c r="O36" i="14"/>
  <c r="O35" i="14"/>
  <c r="O34" i="14"/>
  <c r="O33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N39" i="14"/>
  <c r="R39" i="14" s="1"/>
  <c r="N42" i="14"/>
  <c r="R42" i="14" s="1"/>
  <c r="N52" i="14"/>
  <c r="R52" i="14" s="1"/>
  <c r="N54" i="14"/>
  <c r="R54" i="14" s="1"/>
  <c r="K70" i="14"/>
  <c r="K69" i="14"/>
  <c r="K66" i="14"/>
  <c r="K64" i="14"/>
  <c r="S64" i="14" s="1"/>
  <c r="K63" i="14"/>
  <c r="S63" i="14" s="1"/>
  <c r="K60" i="14"/>
  <c r="K58" i="14"/>
  <c r="K57" i="14"/>
  <c r="K56" i="14"/>
  <c r="K55" i="14"/>
  <c r="K54" i="14"/>
  <c r="K53" i="14"/>
  <c r="K52" i="14"/>
  <c r="K51" i="14"/>
  <c r="K49" i="14"/>
  <c r="K44" i="14"/>
  <c r="S44" i="14" s="1"/>
  <c r="K43" i="14"/>
  <c r="S43" i="14" s="1"/>
  <c r="K42" i="14"/>
  <c r="K41" i="14"/>
  <c r="K40" i="14"/>
  <c r="K39" i="14"/>
  <c r="K38" i="14"/>
  <c r="K36" i="14"/>
  <c r="K35" i="14"/>
  <c r="K34" i="14"/>
  <c r="K30" i="14"/>
  <c r="K29" i="14"/>
  <c r="K28" i="14"/>
  <c r="K27" i="14"/>
  <c r="K25" i="14"/>
  <c r="K23" i="14"/>
  <c r="S23" i="14" s="1"/>
  <c r="K20" i="14"/>
  <c r="K16" i="14"/>
  <c r="K15" i="14"/>
  <c r="K14" i="14"/>
  <c r="K13" i="14"/>
  <c r="J12" i="14"/>
  <c r="J19" i="14"/>
  <c r="J18" i="14" s="1"/>
  <c r="R18" i="14" s="1"/>
  <c r="J22" i="14"/>
  <c r="J21" i="14" s="1"/>
  <c r="R21" i="14" s="1"/>
  <c r="J26" i="14"/>
  <c r="J24" i="14" s="1"/>
  <c r="J33" i="14"/>
  <c r="J47" i="14"/>
  <c r="J45" i="14" s="1"/>
  <c r="J61" i="14"/>
  <c r="J65" i="14"/>
  <c r="R65" i="14" s="1"/>
  <c r="J68" i="14"/>
  <c r="R68" i="14" s="1"/>
  <c r="B1746" i="14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I1748" i="14"/>
  <c r="Q1749" i="14"/>
  <c r="Q1750" i="14"/>
  <c r="Q1751" i="14"/>
  <c r="I1752" i="14"/>
  <c r="Q1753" i="14"/>
  <c r="M1755" i="14"/>
  <c r="Q1756" i="14"/>
  <c r="Q1757" i="14"/>
  <c r="I1759" i="14"/>
  <c r="K1759" i="14" s="1"/>
  <c r="S1759" i="14" s="1"/>
  <c r="I1760" i="14"/>
  <c r="I1762" i="14"/>
  <c r="K1762" i="14" s="1"/>
  <c r="S1762" i="14" s="1"/>
  <c r="I1763" i="14"/>
  <c r="I1764" i="14"/>
  <c r="I1765" i="14"/>
  <c r="B1568" i="14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B1581" i="14" s="1"/>
  <c r="B1582" i="14" s="1"/>
  <c r="B1583" i="14" s="1"/>
  <c r="B1584" i="14" s="1"/>
  <c r="B1585" i="14" s="1"/>
  <c r="B1586" i="14" s="1"/>
  <c r="B1587" i="14" s="1"/>
  <c r="B1588" i="14" s="1"/>
  <c r="B1589" i="14" s="1"/>
  <c r="B1590" i="14" s="1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M1571" i="14"/>
  <c r="Q1572" i="14"/>
  <c r="Q1574" i="14"/>
  <c r="Q1575" i="14"/>
  <c r="I1576" i="14"/>
  <c r="Q1577" i="14"/>
  <c r="Q1578" i="14"/>
  <c r="Q1579" i="14"/>
  <c r="Q1580" i="14"/>
  <c r="Q1581" i="14"/>
  <c r="I1584" i="14"/>
  <c r="I1585" i="14"/>
  <c r="I1586" i="14"/>
  <c r="Q1587" i="14"/>
  <c r="Q1588" i="14"/>
  <c r="I1589" i="14"/>
  <c r="I1591" i="14"/>
  <c r="Q1592" i="14"/>
  <c r="Q1593" i="14"/>
  <c r="I1595" i="14"/>
  <c r="Q1596" i="14"/>
  <c r="Q1597" i="14"/>
  <c r="Q1598" i="14"/>
  <c r="Q1599" i="14"/>
  <c r="Q1600" i="14"/>
  <c r="Q1601" i="14"/>
  <c r="I1602" i="14"/>
  <c r="Q1603" i="14"/>
  <c r="I1606" i="14"/>
  <c r="Q1607" i="14"/>
  <c r="I1611" i="14"/>
  <c r="I1612" i="14"/>
  <c r="I1614" i="14"/>
  <c r="Q1615" i="14"/>
  <c r="Q1616" i="14"/>
  <c r="Q1618" i="14"/>
  <c r="I1619" i="14"/>
  <c r="M1621" i="14"/>
  <c r="Q1622" i="14"/>
  <c r="K1625" i="14"/>
  <c r="I1627" i="14"/>
  <c r="Q1628" i="14"/>
  <c r="Q1629" i="14"/>
  <c r="Q1630" i="14"/>
  <c r="Q1631" i="14"/>
  <c r="Q1632" i="14"/>
  <c r="Q1633" i="14"/>
  <c r="Q1634" i="14"/>
  <c r="I1637" i="14"/>
  <c r="Q1638" i="14"/>
  <c r="Q1639" i="14"/>
  <c r="Q1640" i="14"/>
  <c r="I1641" i="14"/>
  <c r="Q1642" i="14"/>
  <c r="Q1643" i="14"/>
  <c r="Q1646" i="14"/>
  <c r="Q1647" i="14"/>
  <c r="I1648" i="14"/>
  <c r="Q1649" i="14"/>
  <c r="Q1650" i="14"/>
  <c r="Q1651" i="14"/>
  <c r="Q1652" i="14"/>
  <c r="Q1653" i="14"/>
  <c r="Q1654" i="14"/>
  <c r="Q1655" i="14"/>
  <c r="I1656" i="14"/>
  <c r="M1658" i="14"/>
  <c r="Q1659" i="14"/>
  <c r="I1662" i="14"/>
  <c r="Q1663" i="14"/>
  <c r="Q1664" i="14"/>
  <c r="Q1665" i="14"/>
  <c r="Q1666" i="14"/>
  <c r="I1669" i="14"/>
  <c r="I1670" i="14"/>
  <c r="I1671" i="14"/>
  <c r="Q1672" i="14"/>
  <c r="Q1673" i="14"/>
  <c r="Q1674" i="14"/>
  <c r="Q1675" i="14"/>
  <c r="Q1676" i="14"/>
  <c r="Q1677" i="14"/>
  <c r="Q1678" i="14"/>
  <c r="Q1679" i="14"/>
  <c r="M1683" i="14"/>
  <c r="Q1684" i="14"/>
  <c r="M1685" i="14"/>
  <c r="Q1686" i="14"/>
  <c r="I1691" i="14"/>
  <c r="I1692" i="14"/>
  <c r="Q1694" i="14"/>
  <c r="Q1695" i="14"/>
  <c r="I1696" i="14"/>
  <c r="Q1697" i="14"/>
  <c r="Q1698" i="14"/>
  <c r="I1699" i="14"/>
  <c r="I1702" i="14"/>
  <c r="I1704" i="14"/>
  <c r="Q1705" i="14"/>
  <c r="I1706" i="14"/>
  <c r="Q1707" i="14"/>
  <c r="I1710" i="14"/>
  <c r="I1711" i="14"/>
  <c r="I1713" i="14"/>
  <c r="I1714" i="14"/>
  <c r="I1715" i="14"/>
  <c r="K1716" i="14"/>
  <c r="M1721" i="14"/>
  <c r="Q1722" i="14"/>
  <c r="I1725" i="14"/>
  <c r="I1726" i="14"/>
  <c r="K1726" i="14" s="1"/>
  <c r="I1727" i="14"/>
  <c r="Q1728" i="14"/>
  <c r="Q1729" i="14"/>
  <c r="Q1730" i="14"/>
  <c r="Q1731" i="14"/>
  <c r="Q1732" i="14"/>
  <c r="Q1733" i="14"/>
  <c r="I1734" i="14"/>
  <c r="Q1735" i="14"/>
  <c r="B1469" i="14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B1499" i="14" s="1"/>
  <c r="B1500" i="14" s="1"/>
  <c r="B1501" i="14" s="1"/>
  <c r="I1470" i="14"/>
  <c r="Q1471" i="14"/>
  <c r="M1473" i="14"/>
  <c r="Q1474" i="14"/>
  <c r="M1475" i="14"/>
  <c r="Q1476" i="14"/>
  <c r="Q1477" i="14"/>
  <c r="I1480" i="14"/>
  <c r="I1481" i="14"/>
  <c r="Q1483" i="14"/>
  <c r="Q1484" i="14"/>
  <c r="I1485" i="14"/>
  <c r="Q1486" i="14"/>
  <c r="I1487" i="14"/>
  <c r="Q1488" i="14"/>
  <c r="I1489" i="14"/>
  <c r="Q1491" i="14"/>
  <c r="Q1492" i="14"/>
  <c r="I1494" i="14"/>
  <c r="K1494" i="14" s="1"/>
  <c r="I1495" i="14"/>
  <c r="I1496" i="14"/>
  <c r="Q1497" i="14"/>
  <c r="I1498" i="14"/>
  <c r="K1498" i="14" s="1"/>
  <c r="I1502" i="14"/>
  <c r="Q1503" i="14"/>
  <c r="Q1504" i="14"/>
  <c r="M1506" i="14"/>
  <c r="Q1507" i="14"/>
  <c r="Q1509" i="14"/>
  <c r="I1515" i="14"/>
  <c r="Q1516" i="14"/>
  <c r="I1518" i="14"/>
  <c r="Q1519" i="14"/>
  <c r="Q1520" i="14"/>
  <c r="I1521" i="14"/>
  <c r="Q1522" i="14"/>
  <c r="Q1523" i="14"/>
  <c r="M1525" i="14"/>
  <c r="Q1526" i="14"/>
  <c r="I1529" i="14"/>
  <c r="Q1530" i="14"/>
  <c r="I1532" i="14"/>
  <c r="Q1533" i="14"/>
  <c r="I1537" i="14"/>
  <c r="I1538" i="14"/>
  <c r="I1539" i="14"/>
  <c r="I1540" i="14"/>
  <c r="K1540" i="14" s="1"/>
  <c r="Q1543" i="14"/>
  <c r="Q1544" i="14"/>
  <c r="I1546" i="14"/>
  <c r="Q1547" i="14"/>
  <c r="Q1548" i="14"/>
  <c r="I1549" i="14"/>
  <c r="K1549" i="14" s="1"/>
  <c r="Q1550" i="14"/>
  <c r="Q1551" i="14"/>
  <c r="Q1552" i="14"/>
  <c r="M1554" i="14"/>
  <c r="Q1555" i="14"/>
  <c r="Q1556" i="14"/>
  <c r="M1557" i="14"/>
  <c r="Q1558" i="14"/>
  <c r="B1396" i="14"/>
  <c r="B1397" i="14" s="1"/>
  <c r="Q1398" i="14"/>
  <c r="Q1400" i="14"/>
  <c r="Q1401" i="14"/>
  <c r="Q1402" i="14"/>
  <c r="Q1403" i="14"/>
  <c r="Q1404" i="14"/>
  <c r="Q1405" i="14"/>
  <c r="Q1406" i="14"/>
  <c r="Q1407" i="14"/>
  <c r="Q1412" i="14"/>
  <c r="I1413" i="14"/>
  <c r="Q1414" i="14"/>
  <c r="Q1416" i="14"/>
  <c r="I1417" i="14"/>
  <c r="I1418" i="14"/>
  <c r="Q1419" i="14"/>
  <c r="Q1420" i="14"/>
  <c r="Q1421" i="14"/>
  <c r="Q1422" i="14"/>
  <c r="M1424" i="14"/>
  <c r="Q1425" i="14"/>
  <c r="Q1426" i="14"/>
  <c r="Q1427" i="14"/>
  <c r="Q1429" i="14"/>
  <c r="Q1430" i="14"/>
  <c r="Q1431" i="14"/>
  <c r="I1433" i="14"/>
  <c r="I1434" i="14"/>
  <c r="Q1436" i="14"/>
  <c r="Q1437" i="14"/>
  <c r="Q1438" i="14"/>
  <c r="I1439" i="14"/>
  <c r="I1440" i="14"/>
  <c r="M1442" i="14"/>
  <c r="O1442" i="14" s="1"/>
  <c r="Q1443" i="14"/>
  <c r="M1445" i="14"/>
  <c r="Q1446" i="14"/>
  <c r="M1447" i="14"/>
  <c r="Q1448" i="14"/>
  <c r="I1450" i="14"/>
  <c r="Q1451" i="14"/>
  <c r="M1452" i="14"/>
  <c r="Q1453" i="14"/>
  <c r="Q1456" i="14"/>
  <c r="Q1457" i="14"/>
  <c r="Q1458" i="14"/>
  <c r="B1268" i="14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I1269" i="14"/>
  <c r="Q1270" i="14"/>
  <c r="I1272" i="14"/>
  <c r="Q1273" i="14"/>
  <c r="Q1274" i="14"/>
  <c r="Q1283" i="14"/>
  <c r="Q1284" i="14"/>
  <c r="I1287" i="14"/>
  <c r="Q1288" i="14"/>
  <c r="Q1289" i="14"/>
  <c r="M1291" i="14"/>
  <c r="Q1292" i="14"/>
  <c r="Q1293" i="14"/>
  <c r="I1295" i="14"/>
  <c r="Q1296" i="14"/>
  <c r="Q1298" i="14"/>
  <c r="Q1299" i="14"/>
  <c r="I1304" i="14"/>
  <c r="Q1305" i="14"/>
  <c r="Q1306" i="14"/>
  <c r="M1310" i="14"/>
  <c r="M1307" i="14" s="1"/>
  <c r="Q1311" i="14"/>
  <c r="Q1312" i="14"/>
  <c r="Q1314" i="14"/>
  <c r="Q1315" i="14"/>
  <c r="I1316" i="14"/>
  <c r="Q1317" i="14"/>
  <c r="Q1318" i="14"/>
  <c r="Q1319" i="14"/>
  <c r="Q1320" i="14"/>
  <c r="Q1321" i="14"/>
  <c r="Q1322" i="14"/>
  <c r="I1324" i="14"/>
  <c r="Q1325" i="14"/>
  <c r="M1328" i="14"/>
  <c r="Q1329" i="14"/>
  <c r="Q1331" i="14"/>
  <c r="I1332" i="14"/>
  <c r="I1333" i="14"/>
  <c r="Q1334" i="14"/>
  <c r="Q1335" i="14"/>
  <c r="Q1336" i="14"/>
  <c r="Q1337" i="14"/>
  <c r="I1338" i="14"/>
  <c r="K1338" i="14" s="1"/>
  <c r="I1344" i="14"/>
  <c r="Q1345" i="14"/>
  <c r="M1347" i="14"/>
  <c r="Q1348" i="14"/>
  <c r="Q1350" i="14"/>
  <c r="Q1351" i="14"/>
  <c r="Q1352" i="14"/>
  <c r="Q1353" i="14"/>
  <c r="Q1354" i="14"/>
  <c r="Q1355" i="14"/>
  <c r="Q1356" i="14"/>
  <c r="Q1357" i="14"/>
  <c r="Q1358" i="14"/>
  <c r="Q1360" i="14"/>
  <c r="Q1361" i="14"/>
  <c r="Q1362" i="14"/>
  <c r="Q1363" i="14"/>
  <c r="Q1364" i="14"/>
  <c r="Q1365" i="14"/>
  <c r="Q1366" i="14"/>
  <c r="Q1367" i="14"/>
  <c r="M1368" i="14"/>
  <c r="Q1369" i="14"/>
  <c r="Q1370" i="14"/>
  <c r="Q1371" i="14"/>
  <c r="Q1372" i="14"/>
  <c r="Q1374" i="14"/>
  <c r="Q1376" i="14"/>
  <c r="Q1377" i="14"/>
  <c r="I1379" i="14"/>
  <c r="I1380" i="14"/>
  <c r="Q1381" i="14"/>
  <c r="I1382" i="14"/>
  <c r="Q1383" i="14"/>
  <c r="I1384" i="14"/>
  <c r="I1385" i="14"/>
  <c r="B453" i="14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B477" i="14" s="1"/>
  <c r="B478" i="14" s="1"/>
  <c r="B479" i="14" s="1"/>
  <c r="B480" i="14" s="1"/>
  <c r="B481" i="14" s="1"/>
  <c r="B482" i="14" s="1"/>
  <c r="B483" i="14" s="1"/>
  <c r="B484" i="14" s="1"/>
  <c r="I456" i="14"/>
  <c r="K456" i="14" s="1"/>
  <c r="I457" i="14"/>
  <c r="I458" i="14"/>
  <c r="I459" i="14"/>
  <c r="I460" i="14"/>
  <c r="I461" i="14"/>
  <c r="I462" i="14"/>
  <c r="I463" i="14"/>
  <c r="I464" i="14"/>
  <c r="Q466" i="14"/>
  <c r="Q467" i="14"/>
  <c r="Q469" i="14"/>
  <c r="Q470" i="14"/>
  <c r="I471" i="14"/>
  <c r="Q472" i="14"/>
  <c r="Q473" i="14"/>
  <c r="Q474" i="14"/>
  <c r="I477" i="14"/>
  <c r="Q478" i="14"/>
  <c r="Q479" i="14"/>
  <c r="Q483" i="14"/>
  <c r="Q484" i="14"/>
  <c r="Q486" i="14"/>
  <c r="I487" i="14"/>
  <c r="Q488" i="14"/>
  <c r="Q489" i="14"/>
  <c r="Q490" i="14"/>
  <c r="M492" i="14"/>
  <c r="Q493" i="14"/>
  <c r="Q495" i="14"/>
  <c r="Q496" i="14"/>
  <c r="Q498" i="14"/>
  <c r="I499" i="14"/>
  <c r="I500" i="14"/>
  <c r="K500" i="14" s="1"/>
  <c r="Q501" i="14"/>
  <c r="Q502" i="14"/>
  <c r="M504" i="14"/>
  <c r="Q505" i="14"/>
  <c r="Q507" i="14"/>
  <c r="Q508" i="14"/>
  <c r="Q510" i="14"/>
  <c r="I511" i="14"/>
  <c r="Q512" i="14"/>
  <c r="Q513" i="14"/>
  <c r="Q514" i="14"/>
  <c r="Q519" i="14"/>
  <c r="Q520" i="14"/>
  <c r="Q522" i="14"/>
  <c r="I523" i="14"/>
  <c r="I524" i="14"/>
  <c r="Q525" i="14"/>
  <c r="Q526" i="14"/>
  <c r="Q528" i="14"/>
  <c r="Q529" i="14"/>
  <c r="Q531" i="14"/>
  <c r="Q534" i="14"/>
  <c r="Q535" i="14"/>
  <c r="Q536" i="14"/>
  <c r="Q538" i="14"/>
  <c r="Q539" i="14"/>
  <c r="Q541" i="14"/>
  <c r="I542" i="14"/>
  <c r="K542" i="14" s="1"/>
  <c r="I543" i="14"/>
  <c r="Q544" i="14"/>
  <c r="Q545" i="14"/>
  <c r="M547" i="14"/>
  <c r="Q548" i="14"/>
  <c r="Q549" i="14"/>
  <c r="Q551" i="14"/>
  <c r="Q552" i="14"/>
  <c r="Q554" i="14"/>
  <c r="I555" i="14"/>
  <c r="K555" i="14" s="1"/>
  <c r="I556" i="14"/>
  <c r="Q557" i="14"/>
  <c r="Q558" i="14"/>
  <c r="M560" i="14"/>
  <c r="Q561" i="14"/>
  <c r="Q563" i="14"/>
  <c r="Q564" i="14"/>
  <c r="Q566" i="14"/>
  <c r="I567" i="14"/>
  <c r="Q568" i="14"/>
  <c r="Q569" i="14"/>
  <c r="Q570" i="14"/>
  <c r="Q572" i="14"/>
  <c r="Q573" i="14"/>
  <c r="Q575" i="14"/>
  <c r="I576" i="14"/>
  <c r="I577" i="14"/>
  <c r="Q578" i="14"/>
  <c r="Q579" i="14"/>
  <c r="Q581" i="14"/>
  <c r="Q582" i="14"/>
  <c r="Q584" i="14"/>
  <c r="K585" i="14"/>
  <c r="Q586" i="14"/>
  <c r="I587" i="14"/>
  <c r="Q588" i="14"/>
  <c r="Q589" i="14"/>
  <c r="Q591" i="14"/>
  <c r="Q592" i="14"/>
  <c r="Q594" i="14"/>
  <c r="I595" i="14"/>
  <c r="K595" i="14" s="1"/>
  <c r="Q596" i="14"/>
  <c r="Q597" i="14"/>
  <c r="Q598" i="14"/>
  <c r="Q603" i="14"/>
  <c r="Q604" i="14"/>
  <c r="Q606" i="14"/>
  <c r="I607" i="14"/>
  <c r="Q608" i="14"/>
  <c r="Q609" i="14"/>
  <c r="Q610" i="14"/>
  <c r="Q612" i="14"/>
  <c r="Q613" i="14"/>
  <c r="Q615" i="14"/>
  <c r="I616" i="14"/>
  <c r="I617" i="14"/>
  <c r="K617" i="14" s="1"/>
  <c r="Q618" i="14"/>
  <c r="Q619" i="14"/>
  <c r="Q621" i="14"/>
  <c r="Q622" i="14"/>
  <c r="Q624" i="14"/>
  <c r="I625" i="14"/>
  <c r="Q626" i="14"/>
  <c r="Q627" i="14"/>
  <c r="Q628" i="14"/>
  <c r="Q629" i="14"/>
  <c r="Q631" i="14"/>
  <c r="Q632" i="14"/>
  <c r="Q634" i="14"/>
  <c r="I635" i="14"/>
  <c r="I636" i="14"/>
  <c r="Q637" i="14"/>
  <c r="Q638" i="14"/>
  <c r="Q639" i="14"/>
  <c r="M642" i="14"/>
  <c r="I644" i="14"/>
  <c r="Q645" i="14"/>
  <c r="Q647" i="14"/>
  <c r="Q648" i="14"/>
  <c r="Q651" i="14"/>
  <c r="Q652" i="14"/>
  <c r="I653" i="14"/>
  <c r="Q654" i="14"/>
  <c r="Q655" i="14"/>
  <c r="Q656" i="14"/>
  <c r="Q657" i="14"/>
  <c r="Q658" i="14"/>
  <c r="Q659" i="14"/>
  <c r="Q660" i="14"/>
  <c r="Q661" i="14"/>
  <c r="Q662" i="14"/>
  <c r="I663" i="14"/>
  <c r="Q664" i="14"/>
  <c r="Q665" i="14"/>
  <c r="Q666" i="14"/>
  <c r="Q667" i="14"/>
  <c r="Q668" i="14"/>
  <c r="Q669" i="14"/>
  <c r="Q670" i="14"/>
  <c r="M673" i="14"/>
  <c r="Q674" i="14"/>
  <c r="M675" i="14"/>
  <c r="Q676" i="14"/>
  <c r="Q679" i="14"/>
  <c r="Q680" i="14"/>
  <c r="I682" i="14"/>
  <c r="I683" i="14"/>
  <c r="I684" i="14"/>
  <c r="I685" i="14"/>
  <c r="Q686" i="14"/>
  <c r="Q690" i="14"/>
  <c r="I691" i="14"/>
  <c r="I692" i="14"/>
  <c r="Q693" i="14"/>
  <c r="I694" i="14"/>
  <c r="I695" i="14"/>
  <c r="Q696" i="14"/>
  <c r="M699" i="14"/>
  <c r="Q700" i="14"/>
  <c r="Q702" i="14"/>
  <c r="Q703" i="14"/>
  <c r="Q705" i="14"/>
  <c r="I706" i="14"/>
  <c r="I707" i="14"/>
  <c r="I708" i="14"/>
  <c r="Q709" i="14"/>
  <c r="I710" i="14"/>
  <c r="K710" i="14" s="1"/>
  <c r="I711" i="14"/>
  <c r="Q712" i="14"/>
  <c r="Q713" i="14"/>
  <c r="Q715" i="14"/>
  <c r="I716" i="14"/>
  <c r="K716" i="14" s="1"/>
  <c r="I717" i="14"/>
  <c r="I718" i="14"/>
  <c r="Q719" i="14"/>
  <c r="I720" i="14"/>
  <c r="I721" i="14"/>
  <c r="I727" i="14"/>
  <c r="K727" i="14" s="1"/>
  <c r="I728" i="14"/>
  <c r="Q730" i="14"/>
  <c r="I731" i="14"/>
  <c r="I732" i="14"/>
  <c r="Q733" i="14"/>
  <c r="Q734" i="14"/>
  <c r="Q735" i="14"/>
  <c r="I736" i="14"/>
  <c r="K736" i="14" s="1"/>
  <c r="I737" i="14"/>
  <c r="Q738" i="14"/>
  <c r="Q739" i="14"/>
  <c r="Q741" i="14"/>
  <c r="I742" i="14"/>
  <c r="I743" i="14"/>
  <c r="Q744" i="14"/>
  <c r="Q745" i="14"/>
  <c r="I746" i="14"/>
  <c r="Q747" i="14"/>
  <c r="M750" i="14"/>
  <c r="Q751" i="14"/>
  <c r="M752" i="14"/>
  <c r="O752" i="14" s="1"/>
  <c r="Q753" i="14"/>
  <c r="Q756" i="14"/>
  <c r="I757" i="14"/>
  <c r="Q759" i="14"/>
  <c r="Q760" i="14"/>
  <c r="I761" i="14"/>
  <c r="K761" i="14" s="1"/>
  <c r="Q762" i="14"/>
  <c r="I763" i="14"/>
  <c r="K763" i="14" s="1"/>
  <c r="I764" i="14"/>
  <c r="K764" i="14" s="1"/>
  <c r="I765" i="14"/>
  <c r="Q766" i="14"/>
  <c r="Q767" i="14"/>
  <c r="Q769" i="14"/>
  <c r="Q771" i="14"/>
  <c r="I773" i="14"/>
  <c r="I774" i="14"/>
  <c r="M777" i="14"/>
  <c r="M776" i="14" s="1"/>
  <c r="Q778" i="14"/>
  <c r="Q780" i="14"/>
  <c r="Q781" i="14"/>
  <c r="I784" i="14"/>
  <c r="I785" i="14"/>
  <c r="I786" i="14"/>
  <c r="Q787" i="14"/>
  <c r="Q788" i="14"/>
  <c r="I789" i="14"/>
  <c r="Q790" i="14"/>
  <c r="Q791" i="14"/>
  <c r="I794" i="14"/>
  <c r="Q795" i="14"/>
  <c r="Q796" i="14"/>
  <c r="I797" i="14"/>
  <c r="K797" i="14" s="1"/>
  <c r="Q798" i="14"/>
  <c r="Q799" i="14"/>
  <c r="I800" i="14"/>
  <c r="M803" i="14"/>
  <c r="Q804" i="14"/>
  <c r="M806" i="14"/>
  <c r="O806" i="14" s="1"/>
  <c r="I809" i="14"/>
  <c r="K809" i="14" s="1"/>
  <c r="I810" i="14"/>
  <c r="Q812" i="14"/>
  <c r="Q813" i="14"/>
  <c r="I814" i="14"/>
  <c r="I815" i="14"/>
  <c r="Q816" i="14"/>
  <c r="I817" i="14"/>
  <c r="K817" i="14" s="1"/>
  <c r="I818" i="14"/>
  <c r="Q822" i="14"/>
  <c r="Q823" i="14"/>
  <c r="Q824" i="14"/>
  <c r="Q825" i="14"/>
  <c r="Q826" i="14"/>
  <c r="I827" i="14"/>
  <c r="K827" i="14" s="1"/>
  <c r="I828" i="14"/>
  <c r="M831" i="14"/>
  <c r="M830" i="14" s="1"/>
  <c r="Q832" i="14"/>
  <c r="Q835" i="14"/>
  <c r="Q836" i="14"/>
  <c r="I838" i="14"/>
  <c r="K838" i="14" s="1"/>
  <c r="I839" i="14"/>
  <c r="Q840" i="14"/>
  <c r="I841" i="14"/>
  <c r="K841" i="14" s="1"/>
  <c r="I842" i="14"/>
  <c r="Q843" i="14"/>
  <c r="Q844" i="14"/>
  <c r="I846" i="14"/>
  <c r="I847" i="14"/>
  <c r="I848" i="14"/>
  <c r="I849" i="14"/>
  <c r="I850" i="14"/>
  <c r="M853" i="14"/>
  <c r="Q854" i="14"/>
  <c r="Q855" i="14"/>
  <c r="Q856" i="14"/>
  <c r="I859" i="14"/>
  <c r="I860" i="14"/>
  <c r="I861" i="14"/>
  <c r="I862" i="14"/>
  <c r="I863" i="14"/>
  <c r="I864" i="14"/>
  <c r="I865" i="14"/>
  <c r="I866" i="14"/>
  <c r="K869" i="14"/>
  <c r="Q871" i="14"/>
  <c r="I872" i="14"/>
  <c r="I873" i="14"/>
  <c r="Q874" i="14"/>
  <c r="I875" i="14"/>
  <c r="I876" i="14"/>
  <c r="K877" i="14"/>
  <c r="Q878" i="14"/>
  <c r="I880" i="14"/>
  <c r="K880" i="14" s="1"/>
  <c r="Q881" i="14"/>
  <c r="I883" i="14"/>
  <c r="I884" i="14"/>
  <c r="K884" i="14" s="1"/>
  <c r="I885" i="14"/>
  <c r="I886" i="14"/>
  <c r="Q887" i="14"/>
  <c r="I889" i="14"/>
  <c r="I890" i="14"/>
  <c r="Q892" i="14"/>
  <c r="I893" i="14"/>
  <c r="K893" i="14" s="1"/>
  <c r="I894" i="14"/>
  <c r="K894" i="14" s="1"/>
  <c r="Q896" i="14"/>
  <c r="Q897" i="14"/>
  <c r="I899" i="14"/>
  <c r="K899" i="14" s="1"/>
  <c r="Q900" i="14"/>
  <c r="Q901" i="14"/>
  <c r="Q902" i="14"/>
  <c r="Q903" i="14"/>
  <c r="Q905" i="14"/>
  <c r="Q906" i="14"/>
  <c r="Q908" i="14"/>
  <c r="Q909" i="14"/>
  <c r="I910" i="14"/>
  <c r="Q911" i="14"/>
  <c r="Q912" i="14"/>
  <c r="Q914" i="14"/>
  <c r="Q915" i="14"/>
  <c r="Q917" i="14"/>
  <c r="I918" i="14"/>
  <c r="Q919" i="14"/>
  <c r="Q920" i="14"/>
  <c r="Q921" i="14"/>
  <c r="Q923" i="14"/>
  <c r="Q924" i="14"/>
  <c r="Q926" i="14"/>
  <c r="I927" i="14"/>
  <c r="Q928" i="14"/>
  <c r="Q929" i="14"/>
  <c r="Q930" i="14"/>
  <c r="Q932" i="14"/>
  <c r="Q933" i="14"/>
  <c r="Q935" i="14"/>
  <c r="Q936" i="14"/>
  <c r="I937" i="14"/>
  <c r="Q938" i="14"/>
  <c r="Q939" i="14"/>
  <c r="Q941" i="14"/>
  <c r="Q942" i="14"/>
  <c r="Q944" i="14"/>
  <c r="I945" i="14"/>
  <c r="K945" i="14" s="1"/>
  <c r="Q946" i="14"/>
  <c r="Q947" i="14"/>
  <c r="Q948" i="14"/>
  <c r="K950" i="14"/>
  <c r="Q953" i="14"/>
  <c r="I954" i="14"/>
  <c r="K954" i="14" s="1"/>
  <c r="I955" i="14"/>
  <c r="I956" i="14"/>
  <c r="Q957" i="14"/>
  <c r="I958" i="14"/>
  <c r="K958" i="14" s="1"/>
  <c r="I959" i="14"/>
  <c r="M961" i="14"/>
  <c r="Q962" i="14"/>
  <c r="I967" i="14"/>
  <c r="K967" i="14" s="1"/>
  <c r="I968" i="14"/>
  <c r="I969" i="14"/>
  <c r="I970" i="14"/>
  <c r="I971" i="14"/>
  <c r="I972" i="14"/>
  <c r="I975" i="14"/>
  <c r="I976" i="14"/>
  <c r="I978" i="14"/>
  <c r="I979" i="14"/>
  <c r="I980" i="14"/>
  <c r="I981" i="14"/>
  <c r="I986" i="14"/>
  <c r="I987" i="14"/>
  <c r="I989" i="14"/>
  <c r="I990" i="14"/>
  <c r="I991" i="14"/>
  <c r="K991" i="14" s="1"/>
  <c r="Q992" i="14"/>
  <c r="I994" i="14"/>
  <c r="I995" i="14"/>
  <c r="I997" i="14"/>
  <c r="I998" i="14"/>
  <c r="I999" i="14"/>
  <c r="K999" i="14" s="1"/>
  <c r="Q1000" i="14"/>
  <c r="I1005" i="14"/>
  <c r="I1006" i="14"/>
  <c r="I1008" i="14"/>
  <c r="I1009" i="14"/>
  <c r="K1009" i="14" s="1"/>
  <c r="I1010" i="14"/>
  <c r="Q1011" i="14"/>
  <c r="I1016" i="14"/>
  <c r="Q1017" i="14"/>
  <c r="I1019" i="14"/>
  <c r="I1020" i="14"/>
  <c r="I1021" i="14"/>
  <c r="Q1022" i="14"/>
  <c r="I1024" i="14"/>
  <c r="I1025" i="14"/>
  <c r="I1027" i="14"/>
  <c r="I1028" i="14"/>
  <c r="I1029" i="14"/>
  <c r="Q1030" i="14"/>
  <c r="I1035" i="14"/>
  <c r="I1036" i="14"/>
  <c r="I1038" i="14"/>
  <c r="I1039" i="14"/>
  <c r="K1039" i="14" s="1"/>
  <c r="I1040" i="14"/>
  <c r="Q1041" i="14"/>
  <c r="I1043" i="14"/>
  <c r="I1044" i="14"/>
  <c r="I1046" i="14"/>
  <c r="I1047" i="14"/>
  <c r="I1048" i="14"/>
  <c r="Q1049" i="14"/>
  <c r="I1051" i="14"/>
  <c r="I1052" i="14"/>
  <c r="I1054" i="14"/>
  <c r="I1055" i="14"/>
  <c r="I1056" i="14"/>
  <c r="K1056" i="14" s="1"/>
  <c r="I1057" i="14"/>
  <c r="K1057" i="14" s="1"/>
  <c r="I1059" i="14"/>
  <c r="K1059" i="14" s="1"/>
  <c r="I1060" i="14"/>
  <c r="I1062" i="14"/>
  <c r="I1063" i="14"/>
  <c r="K1063" i="14" s="1"/>
  <c r="I1064" i="14"/>
  <c r="Q1065" i="14"/>
  <c r="I1067" i="14"/>
  <c r="I1068" i="14"/>
  <c r="I1070" i="14"/>
  <c r="Q1071" i="14"/>
  <c r="I1072" i="14"/>
  <c r="K1072" i="14" s="1"/>
  <c r="Q1073" i="14"/>
  <c r="I1075" i="14"/>
  <c r="I1076" i="14"/>
  <c r="I1078" i="14"/>
  <c r="Q1079" i="14"/>
  <c r="I1080" i="14"/>
  <c r="K1080" i="14" s="1"/>
  <c r="I1081" i="14"/>
  <c r="I1083" i="14"/>
  <c r="Q1084" i="14"/>
  <c r="I1086" i="14"/>
  <c r="I1087" i="14"/>
  <c r="I1088" i="14"/>
  <c r="I1089" i="14"/>
  <c r="I1091" i="14"/>
  <c r="Q1092" i="14"/>
  <c r="Q1094" i="14"/>
  <c r="I1095" i="14"/>
  <c r="I1096" i="14"/>
  <c r="I1097" i="14"/>
  <c r="K1097" i="14" s="1"/>
  <c r="I1098" i="14"/>
  <c r="I1100" i="14"/>
  <c r="Q1101" i="14"/>
  <c r="I1103" i="14"/>
  <c r="I1104" i="14"/>
  <c r="Q1105" i="14"/>
  <c r="I1106" i="14"/>
  <c r="Q1107" i="14"/>
  <c r="I1108" i="14"/>
  <c r="I1109" i="14"/>
  <c r="I1111" i="14"/>
  <c r="I1112" i="14"/>
  <c r="Q1113" i="14"/>
  <c r="I1114" i="14"/>
  <c r="K1114" i="14" s="1"/>
  <c r="Q1115" i="14"/>
  <c r="I1117" i="14"/>
  <c r="I1118" i="14"/>
  <c r="I1120" i="14"/>
  <c r="K1120" i="14" s="1"/>
  <c r="I1121" i="14"/>
  <c r="I1122" i="14"/>
  <c r="Q1123" i="14"/>
  <c r="Q1124" i="14"/>
  <c r="Q1125" i="14"/>
  <c r="Q1127" i="14"/>
  <c r="I1128" i="14"/>
  <c r="Q1129" i="14"/>
  <c r="I1130" i="14"/>
  <c r="K1130" i="14" s="1"/>
  <c r="Q1135" i="14"/>
  <c r="Q1136" i="14"/>
  <c r="I1138" i="14"/>
  <c r="I1139" i="14"/>
  <c r="Q1140" i="14"/>
  <c r="Q1141" i="14"/>
  <c r="Q1142" i="14"/>
  <c r="Q1143" i="14"/>
  <c r="Q1144" i="14"/>
  <c r="I1146" i="14"/>
  <c r="I1147" i="14"/>
  <c r="K1147" i="14" s="1"/>
  <c r="Q1148" i="14"/>
  <c r="I1149" i="14"/>
  <c r="K1149" i="14" s="1"/>
  <c r="Q1150" i="14"/>
  <c r="I1152" i="14"/>
  <c r="Q1153" i="14"/>
  <c r="Q1154" i="14"/>
  <c r="Q1155" i="14"/>
  <c r="I1157" i="14"/>
  <c r="I1158" i="14"/>
  <c r="Q1159" i="14"/>
  <c r="Q1160" i="14"/>
  <c r="Q1161" i="14"/>
  <c r="Q1162" i="14"/>
  <c r="Q1163" i="14"/>
  <c r="I1165" i="14"/>
  <c r="I1166" i="14"/>
  <c r="K1166" i="14" s="1"/>
  <c r="Q1167" i="14"/>
  <c r="I1168" i="14"/>
  <c r="I1169" i="14"/>
  <c r="Q1174" i="14"/>
  <c r="Q1175" i="14"/>
  <c r="I1177" i="14"/>
  <c r="I1178" i="14"/>
  <c r="I1179" i="14"/>
  <c r="I1180" i="14"/>
  <c r="I1181" i="14"/>
  <c r="Q1182" i="14"/>
  <c r="Q1183" i="14"/>
  <c r="I1185" i="14"/>
  <c r="K1185" i="14" s="1"/>
  <c r="I1186" i="14"/>
  <c r="I1187" i="14"/>
  <c r="I1188" i="14"/>
  <c r="I1189" i="14"/>
  <c r="Q1191" i="14"/>
  <c r="Q1192" i="14"/>
  <c r="I1194" i="14"/>
  <c r="Q1195" i="14"/>
  <c r="I1196" i="14"/>
  <c r="I1197" i="14"/>
  <c r="K1197" i="14" s="1"/>
  <c r="Q1198" i="14"/>
  <c r="Q1199" i="14"/>
  <c r="Q1200" i="14"/>
  <c r="Q1202" i="14"/>
  <c r="I1203" i="14"/>
  <c r="K1203" i="14" s="1"/>
  <c r="Q1204" i="14"/>
  <c r="I1205" i="14"/>
  <c r="I1206" i="14"/>
  <c r="I1207" i="14"/>
  <c r="I1209" i="14"/>
  <c r="Q1210" i="14"/>
  <c r="Q1211" i="14"/>
  <c r="Q1212" i="14"/>
  <c r="I1214" i="14"/>
  <c r="I1215" i="14"/>
  <c r="I1216" i="14"/>
  <c r="I1217" i="14"/>
  <c r="K1217" i="14" s="1"/>
  <c r="I1218" i="14"/>
  <c r="Q1219" i="14"/>
  <c r="Q1220" i="14"/>
  <c r="I1222" i="14"/>
  <c r="I1223" i="14"/>
  <c r="I1224" i="14"/>
  <c r="I1225" i="14"/>
  <c r="K1225" i="14" s="1"/>
  <c r="Q1226" i="14"/>
  <c r="I1230" i="14"/>
  <c r="I1232" i="14"/>
  <c r="I1233" i="14"/>
  <c r="I1235" i="14"/>
  <c r="I1236" i="14"/>
  <c r="Q1237" i="14"/>
  <c r="I1239" i="14"/>
  <c r="Q1240" i="14"/>
  <c r="Q1241" i="14"/>
  <c r="Q1242" i="14"/>
  <c r="I1247" i="14"/>
  <c r="I1248" i="14"/>
  <c r="Q1250" i="14"/>
  <c r="I1251" i="14"/>
  <c r="I1252" i="14"/>
  <c r="I1253" i="14"/>
  <c r="K1253" i="14" s="1"/>
  <c r="I1254" i="14"/>
  <c r="I1255" i="14"/>
  <c r="I1256" i="14"/>
  <c r="I1257" i="14"/>
  <c r="B344" i="14"/>
  <c r="B345" i="14" s="1"/>
  <c r="I345" i="14"/>
  <c r="I344" i="14" s="1"/>
  <c r="Q346" i="14"/>
  <c r="Q347" i="14"/>
  <c r="M350" i="14"/>
  <c r="M349" i="14" s="1"/>
  <c r="Q349" i="14" s="1"/>
  <c r="Q351" i="14"/>
  <c r="Q352" i="14"/>
  <c r="I355" i="14"/>
  <c r="Q356" i="14"/>
  <c r="M357" i="14"/>
  <c r="Q359" i="14"/>
  <c r="Q361" i="14"/>
  <c r="Q362" i="14"/>
  <c r="Q364" i="14"/>
  <c r="I365" i="14"/>
  <c r="Q365" i="14" s="1"/>
  <c r="I366" i="14"/>
  <c r="Q366" i="14" s="1"/>
  <c r="I367" i="14"/>
  <c r="Q368" i="14"/>
  <c r="I369" i="14"/>
  <c r="K369" i="14" s="1"/>
  <c r="I370" i="14"/>
  <c r="Q370" i="14" s="1"/>
  <c r="M372" i="14"/>
  <c r="M371" i="14" s="1"/>
  <c r="Q373" i="14"/>
  <c r="Q376" i="14"/>
  <c r="Q377" i="14"/>
  <c r="I378" i="14"/>
  <c r="I375" i="14" s="1"/>
  <c r="Q379" i="14"/>
  <c r="M381" i="14"/>
  <c r="Q381" i="14" s="1"/>
  <c r="Q382" i="14"/>
  <c r="Q386" i="14"/>
  <c r="M387" i="14"/>
  <c r="O387" i="14" s="1"/>
  <c r="S387" i="14" s="1"/>
  <c r="Q388" i="14"/>
  <c r="Q389" i="14"/>
  <c r="Q390" i="14"/>
  <c r="Q391" i="14"/>
  <c r="Q392" i="14"/>
  <c r="Q393" i="14"/>
  <c r="Q394" i="14"/>
  <c r="Q395" i="14"/>
  <c r="Q396" i="14"/>
  <c r="M397" i="14"/>
  <c r="Q397" i="14" s="1"/>
  <c r="Q398" i="14"/>
  <c r="Q399" i="14"/>
  <c r="Q400" i="14"/>
  <c r="Q401" i="14"/>
  <c r="Q403" i="14"/>
  <c r="Q404" i="14"/>
  <c r="Q405" i="14"/>
  <c r="Q406" i="14"/>
  <c r="Q407" i="14"/>
  <c r="Q408" i="14"/>
  <c r="Q409" i="14"/>
  <c r="Q410" i="14"/>
  <c r="Q411" i="14"/>
  <c r="Q412" i="14"/>
  <c r="Q413" i="14"/>
  <c r="Q414" i="14"/>
  <c r="Q415" i="14"/>
  <c r="Q416" i="14"/>
  <c r="Q417" i="14"/>
  <c r="Q418" i="14"/>
  <c r="Q419" i="14"/>
  <c r="Q421" i="14"/>
  <c r="Q422" i="14"/>
  <c r="Q423" i="14"/>
  <c r="Q424" i="14"/>
  <c r="Q425" i="14"/>
  <c r="Q426" i="14"/>
  <c r="Q428" i="14"/>
  <c r="Q429" i="14"/>
  <c r="M431" i="14"/>
  <c r="Q432" i="14"/>
  <c r="M433" i="14"/>
  <c r="Q433" i="14" s="1"/>
  <c r="Q434" i="14"/>
  <c r="Q435" i="14"/>
  <c r="Q436" i="14"/>
  <c r="Q437" i="14"/>
  <c r="Q441" i="14"/>
  <c r="Q442" i="14"/>
  <c r="B272" i="14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B286" i="14" s="1"/>
  <c r="B287" i="14" s="1"/>
  <c r="B288" i="14" s="1"/>
  <c r="B289" i="14" s="1"/>
  <c r="B290" i="14" s="1"/>
  <c r="B291" i="14" s="1"/>
  <c r="B292" i="14" s="1"/>
  <c r="B293" i="14" s="1"/>
  <c r="B294" i="14" s="1"/>
  <c r="I273" i="14"/>
  <c r="Q273" i="14" s="1"/>
  <c r="I274" i="14"/>
  <c r="I276" i="14"/>
  <c r="Q276" i="14" s="1"/>
  <c r="Q277" i="14"/>
  <c r="Q278" i="14"/>
  <c r="I279" i="14"/>
  <c r="I280" i="14"/>
  <c r="Q280" i="14" s="1"/>
  <c r="Q281" i="14"/>
  <c r="I282" i="14"/>
  <c r="I283" i="14"/>
  <c r="M289" i="14"/>
  <c r="M284" i="14" s="1"/>
  <c r="Q290" i="14"/>
  <c r="M293" i="14"/>
  <c r="Q294" i="14"/>
  <c r="Q295" i="14"/>
  <c r="Q296" i="14"/>
  <c r="Q297" i="14"/>
  <c r="M299" i="14"/>
  <c r="O299" i="14" s="1"/>
  <c r="Q301" i="14"/>
  <c r="Q302" i="14"/>
  <c r="I303" i="14"/>
  <c r="Q304" i="14"/>
  <c r="Q305" i="14"/>
  <c r="Q306" i="14"/>
  <c r="Q307" i="14"/>
  <c r="Q308" i="14"/>
  <c r="Q309" i="14"/>
  <c r="M311" i="14"/>
  <c r="Q312" i="14"/>
  <c r="I316" i="14"/>
  <c r="Q317" i="14"/>
  <c r="M319" i="14"/>
  <c r="M318" i="14" s="1"/>
  <c r="Q320" i="14"/>
  <c r="Q323" i="14"/>
  <c r="Q324" i="14"/>
  <c r="I325" i="14"/>
  <c r="K325" i="14" s="1"/>
  <c r="Q327" i="14"/>
  <c r="I328" i="14"/>
  <c r="Q329" i="14"/>
  <c r="Q330" i="14"/>
  <c r="Q331" i="14"/>
  <c r="I332" i="14"/>
  <c r="Q333" i="14"/>
  <c r="Q334" i="14"/>
  <c r="B194" i="14"/>
  <c r="B195" i="14" s="1"/>
  <c r="B196" i="14" s="1"/>
  <c r="B197" i="14" s="1"/>
  <c r="B198" i="14" s="1"/>
  <c r="B199" i="14" s="1"/>
  <c r="B200" i="14" s="1"/>
  <c r="B201" i="14" s="1"/>
  <c r="B202" i="14" s="1"/>
  <c r="B203" i="14" s="1"/>
  <c r="B204" i="14" s="1"/>
  <c r="B205" i="14" s="1"/>
  <c r="B206" i="14" s="1"/>
  <c r="Q195" i="14"/>
  <c r="Q196" i="14"/>
  <c r="I197" i="14"/>
  <c r="Q198" i="14"/>
  <c r="Q199" i="14"/>
  <c r="I201" i="14"/>
  <c r="I202" i="14"/>
  <c r="I204" i="14"/>
  <c r="Q204" i="14" s="1"/>
  <c r="Q205" i="14"/>
  <c r="Q206" i="14"/>
  <c r="Q207" i="14"/>
  <c r="I208" i="14"/>
  <c r="Q208" i="14" s="1"/>
  <c r="Q209" i="14"/>
  <c r="Q212" i="14"/>
  <c r="Q213" i="14"/>
  <c r="I214" i="14"/>
  <c r="Q215" i="14"/>
  <c r="Q216" i="14"/>
  <c r="Q217" i="14"/>
  <c r="Q218" i="14"/>
  <c r="Q219" i="14"/>
  <c r="Q222" i="14"/>
  <c r="Q223" i="14"/>
  <c r="I225" i="14"/>
  <c r="Q225" i="14" s="1"/>
  <c r="I226" i="14"/>
  <c r="Q227" i="14"/>
  <c r="Q228" i="14"/>
  <c r="I229" i="14"/>
  <c r="Q229" i="14" s="1"/>
  <c r="M231" i="14"/>
  <c r="Q232" i="14"/>
  <c r="Q235" i="14"/>
  <c r="Q236" i="14"/>
  <c r="Q238" i="14"/>
  <c r="I239" i="14"/>
  <c r="I240" i="14"/>
  <c r="K240" i="14" s="1"/>
  <c r="I241" i="14"/>
  <c r="K241" i="14" s="1"/>
  <c r="Q242" i="14"/>
  <c r="I243" i="14"/>
  <c r="I245" i="14"/>
  <c r="Q246" i="14"/>
  <c r="Q247" i="14"/>
  <c r="Q248" i="14"/>
  <c r="Q249" i="14"/>
  <c r="M251" i="14"/>
  <c r="Q252" i="14"/>
  <c r="M253" i="14"/>
  <c r="Q253" i="14" s="1"/>
  <c r="Q254" i="14"/>
  <c r="Q255" i="14"/>
  <c r="I258" i="14"/>
  <c r="Q259" i="14"/>
  <c r="Q260" i="14"/>
  <c r="Q261" i="14"/>
  <c r="Q262" i="14"/>
  <c r="B102" i="14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I103" i="14"/>
  <c r="Q104" i="14"/>
  <c r="I107" i="14"/>
  <c r="Q108" i="14"/>
  <c r="I110" i="14"/>
  <c r="Q111" i="14"/>
  <c r="Q112" i="14"/>
  <c r="M114" i="14"/>
  <c r="Q115" i="14"/>
  <c r="I118" i="14"/>
  <c r="Q119" i="14"/>
  <c r="M121" i="14"/>
  <c r="Q122" i="14"/>
  <c r="Q123" i="14"/>
  <c r="I125" i="14"/>
  <c r="I124" i="14" s="1"/>
  <c r="Q124" i="14" s="1"/>
  <c r="Q126" i="14"/>
  <c r="Q127" i="14"/>
  <c r="I129" i="14"/>
  <c r="Q129" i="14" s="1"/>
  <c r="Q130" i="14"/>
  <c r="Q131" i="14"/>
  <c r="Q132" i="14"/>
  <c r="Q133" i="14"/>
  <c r="M135" i="14"/>
  <c r="Q135" i="14" s="1"/>
  <c r="Q136" i="14"/>
  <c r="Q137" i="14"/>
  <c r="Q138" i="14"/>
  <c r="Q140" i="14"/>
  <c r="O141" i="14"/>
  <c r="Q143" i="14"/>
  <c r="Q146" i="14"/>
  <c r="Q147" i="14"/>
  <c r="I148" i="14"/>
  <c r="Q149" i="14"/>
  <c r="Q150" i="14"/>
  <c r="Q151" i="14"/>
  <c r="Q152" i="14"/>
  <c r="I153" i="14"/>
  <c r="Q153" i="14" s="1"/>
  <c r="Q154" i="14"/>
  <c r="Q155" i="14"/>
  <c r="Q156" i="14"/>
  <c r="I162" i="14"/>
  <c r="Q163" i="14"/>
  <c r="I164" i="14"/>
  <c r="Q165" i="14"/>
  <c r="Q168" i="14"/>
  <c r="I169" i="14"/>
  <c r="I167" i="14" s="1"/>
  <c r="Q170" i="14"/>
  <c r="Q171" i="14"/>
  <c r="Q172" i="14"/>
  <c r="Q173" i="14"/>
  <c r="M175" i="14"/>
  <c r="Q176" i="14"/>
  <c r="Q177" i="14"/>
  <c r="M178" i="14"/>
  <c r="Q179" i="14"/>
  <c r="Q180" i="14"/>
  <c r="I183" i="14"/>
  <c r="I184" i="14"/>
  <c r="K184" i="14" s="1"/>
  <c r="B80" i="14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I81" i="14"/>
  <c r="Q81" i="14" s="1"/>
  <c r="Q82" i="14"/>
  <c r="I84" i="14"/>
  <c r="I83" i="14" s="1"/>
  <c r="Q85" i="14"/>
  <c r="I87" i="14"/>
  <c r="I89" i="14"/>
  <c r="Q89" i="14" s="1"/>
  <c r="Q90" i="14"/>
  <c r="I92" i="14"/>
  <c r="Q92" i="14" s="1"/>
  <c r="G351" i="13"/>
  <c r="G350" i="13"/>
  <c r="G347" i="13"/>
  <c r="G346" i="13"/>
  <c r="G345" i="13"/>
  <c r="G343" i="13"/>
  <c r="G340" i="13"/>
  <c r="G339" i="13"/>
  <c r="G338" i="13"/>
  <c r="G337" i="13"/>
  <c r="G336" i="13"/>
  <c r="G335" i="13"/>
  <c r="G334" i="13"/>
  <c r="G333" i="13"/>
  <c r="G332" i="13"/>
  <c r="G331" i="13"/>
  <c r="G329" i="13"/>
  <c r="G328" i="13"/>
  <c r="G327" i="13"/>
  <c r="G326" i="13"/>
  <c r="G325" i="13"/>
  <c r="G324" i="13"/>
  <c r="G323" i="13"/>
  <c r="G317" i="13"/>
  <c r="G316" i="13"/>
  <c r="G315" i="13"/>
  <c r="F314" i="13"/>
  <c r="F313" i="13" s="1"/>
  <c r="F312" i="13" s="1"/>
  <c r="F320" i="13"/>
  <c r="F319" i="13" s="1"/>
  <c r="F318" i="13" s="1"/>
  <c r="G302" i="13"/>
  <c r="G301" i="13"/>
  <c r="G298" i="13"/>
  <c r="G295" i="13"/>
  <c r="G291" i="13"/>
  <c r="G288" i="13"/>
  <c r="G287" i="13"/>
  <c r="G285" i="13"/>
  <c r="G284" i="13"/>
  <c r="G283" i="13"/>
  <c r="G282" i="13"/>
  <c r="G281" i="13"/>
  <c r="G280" i="13"/>
  <c r="G276" i="13"/>
  <c r="G275" i="13"/>
  <c r="G274" i="13"/>
  <c r="G273" i="13"/>
  <c r="G272" i="13"/>
  <c r="G271" i="13"/>
  <c r="G269" i="13"/>
  <c r="G268" i="13"/>
  <c r="G266" i="13"/>
  <c r="G258" i="13"/>
  <c r="G253" i="13"/>
  <c r="G250" i="13"/>
  <c r="G245" i="13"/>
  <c r="G242" i="13"/>
  <c r="G237" i="13"/>
  <c r="G227" i="13"/>
  <c r="G224" i="13"/>
  <c r="G214" i="13"/>
  <c r="G203" i="13"/>
  <c r="G200" i="13"/>
  <c r="G197" i="13"/>
  <c r="G193" i="13"/>
  <c r="G191" i="13"/>
  <c r="G188" i="13"/>
  <c r="G186" i="13"/>
  <c r="G185" i="13"/>
  <c r="G183" i="13"/>
  <c r="G182" i="13"/>
  <c r="G181" i="13"/>
  <c r="G180" i="13"/>
  <c r="G178" i="13"/>
  <c r="G177" i="13"/>
  <c r="G176" i="13"/>
  <c r="G175" i="13"/>
  <c r="G174" i="13"/>
  <c r="G172" i="13"/>
  <c r="G171" i="13"/>
  <c r="G170" i="13"/>
  <c r="G169" i="13"/>
  <c r="G168" i="13"/>
  <c r="G166" i="13"/>
  <c r="G164" i="13"/>
  <c r="G162" i="13"/>
  <c r="G159" i="13"/>
  <c r="G158" i="13"/>
  <c r="G157" i="13"/>
  <c r="G156" i="13"/>
  <c r="G154" i="13"/>
  <c r="G153" i="13"/>
  <c r="G150" i="13"/>
  <c r="G145" i="13"/>
  <c r="G142" i="13"/>
  <c r="G140" i="13"/>
  <c r="G138" i="13"/>
  <c r="G137" i="13"/>
  <c r="G134" i="13"/>
  <c r="G133" i="13"/>
  <c r="G130" i="13"/>
  <c r="G129" i="13"/>
  <c r="G126" i="13"/>
  <c r="G125" i="13"/>
  <c r="G122" i="13"/>
  <c r="G121" i="13"/>
  <c r="G118" i="13"/>
  <c r="G117" i="13"/>
  <c r="G114" i="13"/>
  <c r="G113" i="13"/>
  <c r="G110" i="13"/>
  <c r="G109" i="13"/>
  <c r="G106" i="13"/>
  <c r="G105" i="13"/>
  <c r="G102" i="13"/>
  <c r="G101" i="13"/>
  <c r="G98" i="13"/>
  <c r="G97" i="13"/>
  <c r="G94" i="13"/>
  <c r="G93" i="13"/>
  <c r="G90" i="13"/>
  <c r="G89" i="13"/>
  <c r="G85" i="13"/>
  <c r="G82" i="13"/>
  <c r="G81" i="13"/>
  <c r="G79" i="13"/>
  <c r="G78" i="13"/>
  <c r="G77" i="13"/>
  <c r="G75" i="13"/>
  <c r="G73" i="13"/>
  <c r="G72" i="13"/>
  <c r="G70" i="13"/>
  <c r="G68" i="13"/>
  <c r="G67" i="13"/>
  <c r="G65" i="13"/>
  <c r="G64" i="13"/>
  <c r="G62" i="13"/>
  <c r="G61" i="13"/>
  <c r="G60" i="13"/>
  <c r="G58" i="13"/>
  <c r="G57" i="13"/>
  <c r="G55" i="13"/>
  <c r="G54" i="13"/>
  <c r="G53" i="13"/>
  <c r="G51" i="13"/>
  <c r="G49" i="13"/>
  <c r="G48" i="13"/>
  <c r="G46" i="13"/>
  <c r="G40" i="13"/>
  <c r="G39" i="13"/>
  <c r="G37" i="13"/>
  <c r="G36" i="13"/>
  <c r="G34" i="13"/>
  <c r="G33" i="13"/>
  <c r="G32" i="13"/>
  <c r="G31" i="13"/>
  <c r="G30" i="13"/>
  <c r="G29" i="13"/>
  <c r="G28" i="13"/>
  <c r="G26" i="13"/>
  <c r="G25" i="13"/>
  <c r="G24" i="13"/>
  <c r="G20" i="13"/>
  <c r="G19" i="13"/>
  <c r="G18" i="13"/>
  <c r="G17" i="13"/>
  <c r="G15" i="13"/>
  <c r="G14" i="13"/>
  <c r="G13" i="13"/>
  <c r="G10" i="13"/>
  <c r="F9" i="13"/>
  <c r="F12" i="13"/>
  <c r="F11" i="13" s="1"/>
  <c r="F16" i="13"/>
  <c r="F23" i="13"/>
  <c r="F27" i="13"/>
  <c r="F35" i="13"/>
  <c r="F38" i="13"/>
  <c r="F42" i="13"/>
  <c r="F41" i="13" s="1"/>
  <c r="F45" i="13"/>
  <c r="F47" i="13"/>
  <c r="F50" i="13"/>
  <c r="F52" i="13"/>
  <c r="F56" i="13"/>
  <c r="F59" i="13"/>
  <c r="F63" i="13"/>
  <c r="F66" i="13"/>
  <c r="F69" i="13"/>
  <c r="F71" i="13"/>
  <c r="F74" i="13"/>
  <c r="F76" i="13"/>
  <c r="F80" i="13"/>
  <c r="F84" i="13"/>
  <c r="F83" i="13" s="1"/>
  <c r="F87" i="13"/>
  <c r="F91" i="13"/>
  <c r="F95" i="13"/>
  <c r="F99" i="13"/>
  <c r="F103" i="13"/>
  <c r="F107" i="13"/>
  <c r="F111" i="13"/>
  <c r="F115" i="13"/>
  <c r="F119" i="13"/>
  <c r="F123" i="13"/>
  <c r="F127" i="13"/>
  <c r="F131" i="13"/>
  <c r="F135" i="13"/>
  <c r="F139" i="13"/>
  <c r="F141" i="13"/>
  <c r="F143" i="13"/>
  <c r="F152" i="13"/>
  <c r="F155" i="13"/>
  <c r="F161" i="13"/>
  <c r="F163" i="13"/>
  <c r="F165" i="13"/>
  <c r="F167" i="13"/>
  <c r="F173" i="13"/>
  <c r="F179" i="13"/>
  <c r="F184" i="13"/>
  <c r="F187" i="13"/>
  <c r="F190" i="13"/>
  <c r="F192" i="13"/>
  <c r="F196" i="13"/>
  <c r="F202" i="13"/>
  <c r="F210" i="13"/>
  <c r="F213" i="13"/>
  <c r="F215" i="13"/>
  <c r="F226" i="13"/>
  <c r="F222" i="13" s="1"/>
  <c r="F236" i="13"/>
  <c r="F232" i="13" s="1"/>
  <c r="F244" i="13"/>
  <c r="F252" i="13"/>
  <c r="F257" i="13"/>
  <c r="F259" i="13"/>
  <c r="F264" i="13"/>
  <c r="F267" i="13"/>
  <c r="F290" i="13"/>
  <c r="F289" i="13" s="1"/>
  <c r="F294" i="13"/>
  <c r="F293" i="13" s="1"/>
  <c r="F297" i="13"/>
  <c r="F296" i="13" s="1"/>
  <c r="F300" i="13"/>
  <c r="F299" i="13" s="1"/>
  <c r="E289" i="13"/>
  <c r="S149" i="14" l="1"/>
  <c r="S1498" i="14"/>
  <c r="S1494" i="14"/>
  <c r="S151" i="14"/>
  <c r="S1716" i="14"/>
  <c r="S377" i="14"/>
  <c r="S351" i="14"/>
  <c r="S352" i="14"/>
  <c r="B1398" i="14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M420" i="14"/>
  <c r="F263" i="13"/>
  <c r="F262" i="13" s="1"/>
  <c r="F261" i="13" s="1"/>
  <c r="S727" i="14"/>
  <c r="S1367" i="14"/>
  <c r="S1377" i="14"/>
  <c r="S617" i="14"/>
  <c r="B1294" i="14"/>
  <c r="B1295" i="14" s="1"/>
  <c r="B1296" i="14" s="1"/>
  <c r="B1297" i="14" s="1"/>
  <c r="S150" i="14"/>
  <c r="O1721" i="14"/>
  <c r="S1721" i="14" s="1"/>
  <c r="M1718" i="14"/>
  <c r="O1718" i="14" s="1"/>
  <c r="S1718" i="14" s="1"/>
  <c r="S1274" i="14"/>
  <c r="S1520" i="14"/>
  <c r="S1587" i="14"/>
  <c r="S1665" i="14"/>
  <c r="S1728" i="14"/>
  <c r="S1732" i="14"/>
  <c r="S1363" i="14"/>
  <c r="S290" i="14"/>
  <c r="S1283" i="14"/>
  <c r="S1296" i="14"/>
  <c r="S1273" i="14"/>
  <c r="S1284" i="14"/>
  <c r="S1422" i="14"/>
  <c r="S1519" i="14"/>
  <c r="S1548" i="14"/>
  <c r="S1421" i="14"/>
  <c r="S1484" i="14"/>
  <c r="S1492" i="14"/>
  <c r="S1547" i="14"/>
  <c r="S1730" i="14"/>
  <c r="S1420" i="14"/>
  <c r="S1474" i="14"/>
  <c r="S1483" i="14"/>
  <c r="S1491" i="14"/>
  <c r="B1502" i="14"/>
  <c r="B1503" i="14" s="1"/>
  <c r="B1504" i="14" s="1"/>
  <c r="B1505" i="14" s="1"/>
  <c r="B1506" i="14" s="1"/>
  <c r="B1507" i="14" s="1"/>
  <c r="B1508" i="14" s="1"/>
  <c r="B1509" i="14" s="1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675" i="14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R1683" i="14"/>
  <c r="N1680" i="14"/>
  <c r="S1663" i="14"/>
  <c r="S1686" i="14"/>
  <c r="S1540" i="14"/>
  <c r="S1080" i="14"/>
  <c r="S991" i="14"/>
  <c r="S1588" i="14"/>
  <c r="S1729" i="14"/>
  <c r="S1733" i="14"/>
  <c r="S871" i="14"/>
  <c r="S887" i="14"/>
  <c r="S911" i="14"/>
  <c r="S923" i="14"/>
  <c r="S935" i="14"/>
  <c r="S947" i="14"/>
  <c r="S1092" i="14"/>
  <c r="S1124" i="14"/>
  <c r="S1135" i="14"/>
  <c r="S1159" i="14"/>
  <c r="S1163" i="14"/>
  <c r="S1182" i="14"/>
  <c r="S1202" i="14"/>
  <c r="S1664" i="14"/>
  <c r="S1705" i="14"/>
  <c r="S1731" i="14"/>
  <c r="I161" i="14"/>
  <c r="Q161" i="14" s="1"/>
  <c r="S165" i="14"/>
  <c r="S176" i="14"/>
  <c r="R162" i="14"/>
  <c r="J161" i="14"/>
  <c r="R161" i="14" s="1"/>
  <c r="S1666" i="14"/>
  <c r="B295" i="14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K1648" i="14"/>
  <c r="S1648" i="14" s="1"/>
  <c r="S790" i="14"/>
  <c r="B135" i="14"/>
  <c r="B136" i="14" s="1"/>
  <c r="B137" i="14" s="1"/>
  <c r="S115" i="14"/>
  <c r="S122" i="14"/>
  <c r="S1203" i="14"/>
  <c r="S1057" i="14"/>
  <c r="S880" i="14"/>
  <c r="S827" i="14"/>
  <c r="S184" i="14"/>
  <c r="S483" i="14"/>
  <c r="S493" i="14"/>
  <c r="S512" i="14"/>
  <c r="S541" i="14"/>
  <c r="S552" i="14"/>
  <c r="S570" i="14"/>
  <c r="S578" i="14"/>
  <c r="S638" i="14"/>
  <c r="S665" i="14"/>
  <c r="S669" i="14"/>
  <c r="S702" i="14"/>
  <c r="B346" i="14"/>
  <c r="B347" i="14" s="1"/>
  <c r="B348" i="14" s="1"/>
  <c r="B349" i="14" s="1"/>
  <c r="B350" i="14" s="1"/>
  <c r="B351" i="14" s="1"/>
  <c r="R777" i="14"/>
  <c r="N776" i="14"/>
  <c r="N755" i="14" s="1"/>
  <c r="S892" i="14"/>
  <c r="S936" i="14"/>
  <c r="S1041" i="14"/>
  <c r="S1160" i="14"/>
  <c r="O311" i="14"/>
  <c r="S311" i="14" s="1"/>
  <c r="S791" i="14"/>
  <c r="S912" i="14"/>
  <c r="S924" i="14"/>
  <c r="S948" i="14"/>
  <c r="S1011" i="14"/>
  <c r="S1073" i="14"/>
  <c r="S1113" i="14"/>
  <c r="S1125" i="14"/>
  <c r="S1136" i="14"/>
  <c r="S1183" i="14"/>
  <c r="S1219" i="14"/>
  <c r="S484" i="14"/>
  <c r="S495" i="14"/>
  <c r="S513" i="14"/>
  <c r="S548" i="14"/>
  <c r="S579" i="14"/>
  <c r="S639" i="14"/>
  <c r="S666" i="14"/>
  <c r="S670" i="14"/>
  <c r="S703" i="14"/>
  <c r="S1161" i="14"/>
  <c r="S1250" i="14"/>
  <c r="S869" i="14"/>
  <c r="R966" i="14"/>
  <c r="J964" i="14"/>
  <c r="J808" i="14"/>
  <c r="S478" i="14"/>
  <c r="S496" i="14"/>
  <c r="S514" i="14"/>
  <c r="S525" i="14"/>
  <c r="S549" i="14"/>
  <c r="S568" i="14"/>
  <c r="S588" i="14"/>
  <c r="S603" i="14"/>
  <c r="S615" i="14"/>
  <c r="S741" i="14"/>
  <c r="S753" i="14"/>
  <c r="S771" i="14"/>
  <c r="S946" i="14"/>
  <c r="S1123" i="14"/>
  <c r="S1162" i="14"/>
  <c r="S1220" i="14"/>
  <c r="S479" i="14"/>
  <c r="S526" i="14"/>
  <c r="S551" i="14"/>
  <c r="S569" i="14"/>
  <c r="S589" i="14"/>
  <c r="S604" i="14"/>
  <c r="S624" i="14"/>
  <c r="S637" i="14"/>
  <c r="S664" i="14"/>
  <c r="S668" i="14"/>
  <c r="S709" i="14"/>
  <c r="S756" i="14"/>
  <c r="R837" i="14"/>
  <c r="J834" i="14"/>
  <c r="R834" i="14" s="1"/>
  <c r="R811" i="14"/>
  <c r="J678" i="14"/>
  <c r="R729" i="14"/>
  <c r="J726" i="14"/>
  <c r="S667" i="14"/>
  <c r="J650" i="14"/>
  <c r="R681" i="14"/>
  <c r="R653" i="14"/>
  <c r="S1325" i="14"/>
  <c r="S1350" i="14"/>
  <c r="S1354" i="14"/>
  <c r="S1358" i="14"/>
  <c r="S1372" i="14"/>
  <c r="S1381" i="14"/>
  <c r="S1351" i="14"/>
  <c r="S1374" i="14"/>
  <c r="S1097" i="14"/>
  <c r="O830" i="14"/>
  <c r="S830" i="14" s="1"/>
  <c r="S595" i="14"/>
  <c r="S1355" i="14"/>
  <c r="S1369" i="14"/>
  <c r="S736" i="14"/>
  <c r="S542" i="14"/>
  <c r="S307" i="14"/>
  <c r="S1195" i="14"/>
  <c r="S1241" i="14"/>
  <c r="B485" i="14"/>
  <c r="B486" i="14" s="1"/>
  <c r="B487" i="14" s="1"/>
  <c r="B488" i="14" s="1"/>
  <c r="B489" i="14" s="1"/>
  <c r="B490" i="14" s="1"/>
  <c r="B491" i="14" s="1"/>
  <c r="B492" i="14" s="1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B505" i="14" s="1"/>
  <c r="B506" i="14" s="1"/>
  <c r="B507" i="14" s="1"/>
  <c r="B508" i="14" s="1"/>
  <c r="B509" i="14" s="1"/>
  <c r="B510" i="14" s="1"/>
  <c r="S1311" i="14"/>
  <c r="S1356" i="14"/>
  <c r="S1370" i="14"/>
  <c r="S1348" i="14"/>
  <c r="S1353" i="14"/>
  <c r="S1357" i="14"/>
  <c r="S1371" i="14"/>
  <c r="S1352" i="14"/>
  <c r="R1301" i="14"/>
  <c r="O1301" i="14"/>
  <c r="S1301" i="14" s="1"/>
  <c r="N1300" i="14"/>
  <c r="S1149" i="14"/>
  <c r="S950" i="14"/>
  <c r="S945" i="14"/>
  <c r="S893" i="14"/>
  <c r="S958" i="14"/>
  <c r="S954" i="14"/>
  <c r="S841" i="14"/>
  <c r="S797" i="14"/>
  <c r="S763" i="14"/>
  <c r="S1114" i="14"/>
  <c r="B207" i="14"/>
  <c r="B208" i="14" s="1"/>
  <c r="B209" i="14" s="1"/>
  <c r="B210" i="14" s="1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J200" i="14"/>
  <c r="R200" i="14" s="1"/>
  <c r="S1312" i="14"/>
  <c r="S1253" i="14"/>
  <c r="S884" i="14"/>
  <c r="J145" i="14"/>
  <c r="R145" i="14" s="1"/>
  <c r="S1129" i="14"/>
  <c r="S1148" i="14"/>
  <c r="S1175" i="14"/>
  <c r="S1211" i="14"/>
  <c r="S1305" i="14"/>
  <c r="S1317" i="14"/>
  <c r="S1321" i="14"/>
  <c r="S538" i="14"/>
  <c r="S557" i="14"/>
  <c r="S622" i="14"/>
  <c r="S654" i="14"/>
  <c r="S658" i="14"/>
  <c r="S662" i="14"/>
  <c r="S715" i="14"/>
  <c r="S762" i="14"/>
  <c r="S787" i="14"/>
  <c r="S844" i="14"/>
  <c r="S855" i="14"/>
  <c r="S896" i="14"/>
  <c r="S908" i="14"/>
  <c r="S920" i="14"/>
  <c r="S932" i="14"/>
  <c r="S944" i="14"/>
  <c r="S953" i="14"/>
  <c r="S1049" i="14"/>
  <c r="S1101" i="14"/>
  <c r="S1140" i="14"/>
  <c r="S1144" i="14"/>
  <c r="S1191" i="14"/>
  <c r="S1199" i="14"/>
  <c r="S1237" i="14"/>
  <c r="S1292" i="14"/>
  <c r="S1293" i="14"/>
  <c r="S1360" i="14"/>
  <c r="S1147" i="14"/>
  <c r="S1120" i="14"/>
  <c r="S761" i="14"/>
  <c r="O1473" i="14"/>
  <c r="S1473" i="14" s="1"/>
  <c r="O1683" i="14"/>
  <c r="S1683" i="14" s="1"/>
  <c r="K1637" i="14"/>
  <c r="S1637" i="14" s="1"/>
  <c r="K162" i="14"/>
  <c r="S162" i="14" s="1"/>
  <c r="S138" i="14"/>
  <c r="S217" i="14"/>
  <c r="S223" i="14"/>
  <c r="R374" i="14"/>
  <c r="S1507" i="14"/>
  <c r="S1550" i="14"/>
  <c r="S1072" i="14"/>
  <c r="S1056" i="14"/>
  <c r="S999" i="14"/>
  <c r="S474" i="14"/>
  <c r="S502" i="14"/>
  <c r="S536" i="14"/>
  <c r="S566" i="14"/>
  <c r="S586" i="14"/>
  <c r="S598" i="14"/>
  <c r="S613" i="14"/>
  <c r="S621" i="14"/>
  <c r="S657" i="14"/>
  <c r="S661" i="14"/>
  <c r="S739" i="14"/>
  <c r="S747" i="14"/>
  <c r="S769" i="14"/>
  <c r="S899" i="14"/>
  <c r="S710" i="14"/>
  <c r="O1347" i="14"/>
  <c r="S1347" i="14" s="1"/>
  <c r="K1333" i="14"/>
  <c r="S1333" i="14" s="1"/>
  <c r="S470" i="14"/>
  <c r="S508" i="14"/>
  <c r="S531" i="14"/>
  <c r="S545" i="14"/>
  <c r="S594" i="14"/>
  <c r="S609" i="14"/>
  <c r="S634" i="14"/>
  <c r="S647" i="14"/>
  <c r="S795" i="14"/>
  <c r="S822" i="14"/>
  <c r="S826" i="14"/>
  <c r="S835" i="14"/>
  <c r="S962" i="14"/>
  <c r="S1017" i="14"/>
  <c r="S1174" i="14"/>
  <c r="S1210" i="14"/>
  <c r="S247" i="14"/>
  <c r="O293" i="14"/>
  <c r="S293" i="14" s="1"/>
  <c r="S369" i="14"/>
  <c r="S205" i="14"/>
  <c r="S238" i="14"/>
  <c r="S259" i="14"/>
  <c r="S1401" i="14"/>
  <c r="S1405" i="14"/>
  <c r="S1436" i="14"/>
  <c r="S209" i="14"/>
  <c r="S325" i="14"/>
  <c r="O1424" i="14"/>
  <c r="S1424" i="14" s="1"/>
  <c r="S218" i="14"/>
  <c r="S242" i="14"/>
  <c r="S296" i="14"/>
  <c r="S240" i="14"/>
  <c r="O318" i="14"/>
  <c r="S318" i="14" s="1"/>
  <c r="S500" i="14"/>
  <c r="S262" i="14"/>
  <c r="S781" i="14"/>
  <c r="S799" i="14"/>
  <c r="S843" i="14"/>
  <c r="S854" i="14"/>
  <c r="S919" i="14"/>
  <c r="S1143" i="14"/>
  <c r="S1167" i="14"/>
  <c r="S1198" i="14"/>
  <c r="S1400" i="14"/>
  <c r="S1404" i="14"/>
  <c r="S1476" i="14"/>
  <c r="S1533" i="14"/>
  <c r="S1598" i="14"/>
  <c r="S1639" i="14"/>
  <c r="S1735" i="14"/>
  <c r="S373" i="14"/>
  <c r="S1488" i="14"/>
  <c r="S1543" i="14"/>
  <c r="S1558" i="14"/>
  <c r="K375" i="14"/>
  <c r="S375" i="14" s="1"/>
  <c r="O673" i="14"/>
  <c r="S673" i="14" s="1"/>
  <c r="S70" i="14"/>
  <c r="S359" i="14"/>
  <c r="S368" i="14"/>
  <c r="S1289" i="14"/>
  <c r="S1335" i="14"/>
  <c r="S1362" i="14"/>
  <c r="S1366" i="14"/>
  <c r="S1376" i="14"/>
  <c r="N1346" i="14"/>
  <c r="R1346" i="14" s="1"/>
  <c r="R1375" i="14"/>
  <c r="S1509" i="14"/>
  <c r="S1522" i="14"/>
  <c r="S1551" i="14"/>
  <c r="S1596" i="14"/>
  <c r="S1600" i="14"/>
  <c r="S1684" i="14"/>
  <c r="S1695" i="14"/>
  <c r="S1707" i="14"/>
  <c r="S15" i="14"/>
  <c r="S69" i="14"/>
  <c r="S58" i="14"/>
  <c r="S331" i="14"/>
  <c r="R381" i="14"/>
  <c r="R350" i="14"/>
  <c r="S1398" i="14"/>
  <c r="S1403" i="14"/>
  <c r="S1407" i="14"/>
  <c r="S1438" i="14"/>
  <c r="R1418" i="14"/>
  <c r="O357" i="14"/>
  <c r="S357" i="14" s="1"/>
  <c r="S1009" i="14"/>
  <c r="K1627" i="14"/>
  <c r="S1627" i="14" s="1"/>
  <c r="S27" i="14"/>
  <c r="S29" i="14"/>
  <c r="S49" i="14"/>
  <c r="S170" i="14"/>
  <c r="S168" i="14"/>
  <c r="S278" i="14"/>
  <c r="S306" i="14"/>
  <c r="S379" i="14"/>
  <c r="S1446" i="14"/>
  <c r="S1457" i="14"/>
  <c r="S1225" i="14"/>
  <c r="S1197" i="14"/>
  <c r="S894" i="14"/>
  <c r="S57" i="14"/>
  <c r="S137" i="14"/>
  <c r="S119" i="14"/>
  <c r="S356" i="14"/>
  <c r="J1238" i="14"/>
  <c r="R1238" i="14" s="1"/>
  <c r="S1429" i="14"/>
  <c r="S1453" i="14"/>
  <c r="I244" i="14"/>
  <c r="K245" i="14"/>
  <c r="S245" i="14" s="1"/>
  <c r="S1039" i="14"/>
  <c r="O961" i="14"/>
  <c r="S961" i="14" s="1"/>
  <c r="S809" i="14"/>
  <c r="S146" i="14"/>
  <c r="S1503" i="14"/>
  <c r="S1577" i="14"/>
  <c r="S1581" i="14"/>
  <c r="S1593" i="14"/>
  <c r="S1629" i="14"/>
  <c r="S1633" i="14"/>
  <c r="S1652" i="14"/>
  <c r="S1673" i="14"/>
  <c r="S1677" i="14"/>
  <c r="S1722" i="14"/>
  <c r="S1185" i="14"/>
  <c r="S133" i="14"/>
  <c r="S147" i="14"/>
  <c r="S163" i="14"/>
  <c r="S171" i="14"/>
  <c r="S179" i="14"/>
  <c r="S206" i="14"/>
  <c r="R258" i="14"/>
  <c r="N300" i="14"/>
  <c r="R300" i="14" s="1"/>
  <c r="R311" i="14"/>
  <c r="J344" i="14"/>
  <c r="R344" i="14" s="1"/>
  <c r="S361" i="14"/>
  <c r="S1412" i="14"/>
  <c r="R1532" i="14"/>
  <c r="J1531" i="14"/>
  <c r="R1531" i="14" s="1"/>
  <c r="S1217" i="14"/>
  <c r="S1166" i="14"/>
  <c r="S1063" i="14"/>
  <c r="Q1009" i="14"/>
  <c r="S967" i="14"/>
  <c r="Q958" i="14"/>
  <c r="Q950" i="14"/>
  <c r="Q894" i="14"/>
  <c r="Q880" i="14"/>
  <c r="S585" i="14"/>
  <c r="O492" i="14"/>
  <c r="S492" i="14" s="1"/>
  <c r="K1595" i="14"/>
  <c r="S1595" i="14" s="1"/>
  <c r="S302" i="14"/>
  <c r="R623" i="14"/>
  <c r="J620" i="14"/>
  <c r="R620" i="14" s="1"/>
  <c r="S486" i="14"/>
  <c r="S561" i="14"/>
  <c r="S573" i="14"/>
  <c r="S581" i="14"/>
  <c r="S628" i="14"/>
  <c r="S676" i="14"/>
  <c r="S705" i="14"/>
  <c r="S734" i="14"/>
  <c r="S878" i="14"/>
  <c r="S902" i="14"/>
  <c r="S914" i="14"/>
  <c r="S926" i="14"/>
  <c r="S938" i="14"/>
  <c r="S1079" i="14"/>
  <c r="S1115" i="14"/>
  <c r="S1127" i="14"/>
  <c r="S1154" i="14"/>
  <c r="K1455" i="14"/>
  <c r="S1455" i="14" s="1"/>
  <c r="Q1455" i="14"/>
  <c r="S1130" i="14"/>
  <c r="S1059" i="14"/>
  <c r="S877" i="14"/>
  <c r="S838" i="14"/>
  <c r="S817" i="14"/>
  <c r="S764" i="14"/>
  <c r="S716" i="14"/>
  <c r="S555" i="14"/>
  <c r="S456" i="14"/>
  <c r="S1338" i="14"/>
  <c r="S1549" i="14"/>
  <c r="S1726" i="14"/>
  <c r="S20" i="14"/>
  <c r="S28" i="14"/>
  <c r="S35" i="14"/>
  <c r="S56" i="14"/>
  <c r="S60" i="14"/>
  <c r="S130" i="14"/>
  <c r="S143" i="14"/>
  <c r="S154" i="14"/>
  <c r="S172" i="14"/>
  <c r="S131" i="14"/>
  <c r="S152" i="14"/>
  <c r="S156" i="14"/>
  <c r="S198" i="14"/>
  <c r="S207" i="14"/>
  <c r="S215" i="14"/>
  <c r="S219" i="14"/>
  <c r="S235" i="14"/>
  <c r="S249" i="14"/>
  <c r="S260" i="14"/>
  <c r="S277" i="14"/>
  <c r="S294" i="14"/>
  <c r="S304" i="14"/>
  <c r="S308" i="14"/>
  <c r="S312" i="14"/>
  <c r="S320" i="14"/>
  <c r="S329" i="14"/>
  <c r="S362" i="14"/>
  <c r="S473" i="14"/>
  <c r="S501" i="14"/>
  <c r="S535" i="14"/>
  <c r="S597" i="14"/>
  <c r="S612" i="14"/>
  <c r="S656" i="14"/>
  <c r="S660" i="14"/>
  <c r="S730" i="14"/>
  <c r="S738" i="14"/>
  <c r="S780" i="14"/>
  <c r="S798" i="14"/>
  <c r="S813" i="14"/>
  <c r="S1071" i="14"/>
  <c r="S1107" i="14"/>
  <c r="S1142" i="14"/>
  <c r="S1150" i="14"/>
  <c r="S1270" i="14"/>
  <c r="S1318" i="14"/>
  <c r="S1322" i="14"/>
  <c r="S1329" i="14"/>
  <c r="S1402" i="14"/>
  <c r="S1406" i="14"/>
  <c r="S1443" i="14"/>
  <c r="S1544" i="14"/>
  <c r="S1578" i="14"/>
  <c r="S1615" i="14"/>
  <c r="S1630" i="14"/>
  <c r="S1634" i="14"/>
  <c r="S1642" i="14"/>
  <c r="S1649" i="14"/>
  <c r="S1653" i="14"/>
  <c r="S1674" i="14"/>
  <c r="S1678" i="14"/>
  <c r="S1694" i="14"/>
  <c r="S1698" i="14"/>
  <c r="S1750" i="14"/>
  <c r="K1518" i="14"/>
  <c r="S1518" i="14" s="1"/>
  <c r="S1625" i="14"/>
  <c r="K1748" i="14"/>
  <c r="S1748" i="14" s="1"/>
  <c r="S199" i="14"/>
  <c r="S216" i="14"/>
  <c r="S222" i="14"/>
  <c r="S347" i="14"/>
  <c r="S469" i="14"/>
  <c r="S490" i="14"/>
  <c r="S507" i="14"/>
  <c r="S522" i="14"/>
  <c r="S529" i="14"/>
  <c r="S544" i="14"/>
  <c r="S554" i="14"/>
  <c r="S572" i="14"/>
  <c r="S592" i="14"/>
  <c r="S608" i="14"/>
  <c r="S627" i="14"/>
  <c r="S632" i="14"/>
  <c r="S645" i="14"/>
  <c r="S652" i="14"/>
  <c r="S713" i="14"/>
  <c r="S733" i="14"/>
  <c r="S760" i="14"/>
  <c r="S816" i="14"/>
  <c r="S825" i="14"/>
  <c r="S832" i="14"/>
  <c r="S874" i="14"/>
  <c r="S901" i="14"/>
  <c r="S906" i="14"/>
  <c r="S930" i="14"/>
  <c r="S942" i="14"/>
  <c r="S1094" i="14"/>
  <c r="S1153" i="14"/>
  <c r="S1204" i="14"/>
  <c r="S1242" i="14"/>
  <c r="S1298" i="14"/>
  <c r="S1314" i="14"/>
  <c r="S1337" i="14"/>
  <c r="S1364" i="14"/>
  <c r="S1427" i="14"/>
  <c r="S1451" i="14"/>
  <c r="S1456" i="14"/>
  <c r="S1523" i="14"/>
  <c r="S1530" i="14"/>
  <c r="S1552" i="14"/>
  <c r="S1574" i="14"/>
  <c r="S1597" i="14"/>
  <c r="S1601" i="14"/>
  <c r="S1616" i="14"/>
  <c r="S1622" i="14"/>
  <c r="S1638" i="14"/>
  <c r="S1643" i="14"/>
  <c r="S1659" i="14"/>
  <c r="S1697" i="14"/>
  <c r="S241" i="14"/>
  <c r="K355" i="14"/>
  <c r="S355" i="14" s="1"/>
  <c r="S14" i="14"/>
  <c r="S36" i="14"/>
  <c r="S41" i="14"/>
  <c r="S66" i="14"/>
  <c r="S112" i="14"/>
  <c r="S155" i="14"/>
  <c r="S177" i="14"/>
  <c r="S123" i="14"/>
  <c r="S127" i="14"/>
  <c r="R110" i="14"/>
  <c r="S196" i="14"/>
  <c r="S213" i="14"/>
  <c r="K225" i="14"/>
  <c r="S225" i="14" s="1"/>
  <c r="S246" i="14"/>
  <c r="S261" i="14"/>
  <c r="R214" i="14"/>
  <c r="S295" i="14"/>
  <c r="S305" i="14"/>
  <c r="S309" i="14"/>
  <c r="S317" i="14"/>
  <c r="S330" i="14"/>
  <c r="N272" i="14"/>
  <c r="R289" i="14"/>
  <c r="S180" i="14"/>
  <c r="S30" i="14"/>
  <c r="S34" i="14"/>
  <c r="S126" i="14"/>
  <c r="S111" i="14"/>
  <c r="R114" i="14"/>
  <c r="R224" i="14"/>
  <c r="O433" i="14"/>
  <c r="S433" i="14" s="1"/>
  <c r="R375" i="14"/>
  <c r="N808" i="14"/>
  <c r="R830" i="14"/>
  <c r="J67" i="14"/>
  <c r="R67" i="14" s="1"/>
  <c r="S13" i="14"/>
  <c r="S25" i="14"/>
  <c r="S108" i="14"/>
  <c r="S141" i="14"/>
  <c r="R167" i="14"/>
  <c r="S248" i="14"/>
  <c r="S252" i="14"/>
  <c r="O319" i="14"/>
  <c r="S319" i="14" s="1"/>
  <c r="J360" i="14"/>
  <c r="J354" i="14" s="1"/>
  <c r="R363" i="14"/>
  <c r="S346" i="14"/>
  <c r="S382" i="14"/>
  <c r="J931" i="14"/>
  <c r="R931" i="14" s="1"/>
  <c r="R934" i="14"/>
  <c r="J895" i="14"/>
  <c r="R895" i="14" s="1"/>
  <c r="R898" i="14"/>
  <c r="S467" i="14"/>
  <c r="S489" i="14"/>
  <c r="S505" i="14"/>
  <c r="S520" i="14"/>
  <c r="S528" i="14"/>
  <c r="S564" i="14"/>
  <c r="S584" i="14"/>
  <c r="S591" i="14"/>
  <c r="S606" i="14"/>
  <c r="S619" i="14"/>
  <c r="S626" i="14"/>
  <c r="S631" i="14"/>
  <c r="S651" i="14"/>
  <c r="S674" i="14"/>
  <c r="S680" i="14"/>
  <c r="S696" i="14"/>
  <c r="S712" i="14"/>
  <c r="S745" i="14"/>
  <c r="S751" i="14"/>
  <c r="S759" i="14"/>
  <c r="S767" i="14"/>
  <c r="S804" i="14"/>
  <c r="S824" i="14"/>
  <c r="S840" i="14"/>
  <c r="S900" i="14"/>
  <c r="S905" i="14"/>
  <c r="S917" i="14"/>
  <c r="S929" i="14"/>
  <c r="S941" i="14"/>
  <c r="S1000" i="14"/>
  <c r="S1030" i="14"/>
  <c r="S1212" i="14"/>
  <c r="R1397" i="14"/>
  <c r="R1244" i="14"/>
  <c r="R852" i="14"/>
  <c r="R1343" i="14"/>
  <c r="R1330" i="14"/>
  <c r="R1290" i="14"/>
  <c r="S1414" i="14"/>
  <c r="S1425" i="14"/>
  <c r="S1458" i="14"/>
  <c r="S1504" i="14"/>
  <c r="S1526" i="14"/>
  <c r="S1555" i="14"/>
  <c r="R1502" i="14"/>
  <c r="S1579" i="14"/>
  <c r="S1631" i="14"/>
  <c r="S1650" i="14"/>
  <c r="S1654" i="14"/>
  <c r="S1675" i="14"/>
  <c r="S1679" i="14"/>
  <c r="R960" i="14"/>
  <c r="S1319" i="14"/>
  <c r="S1331" i="14"/>
  <c r="S1361" i="14"/>
  <c r="R1316" i="14"/>
  <c r="S1416" i="14"/>
  <c r="S1426" i="14"/>
  <c r="S1430" i="14"/>
  <c r="S1448" i="14"/>
  <c r="R1452" i="14"/>
  <c r="J1528" i="14"/>
  <c r="R1528" i="14" s="1"/>
  <c r="S1471" i="14"/>
  <c r="S1516" i="14"/>
  <c r="S1556" i="14"/>
  <c r="N1553" i="14"/>
  <c r="R1553" i="14" s="1"/>
  <c r="R1554" i="14"/>
  <c r="S1575" i="14"/>
  <c r="S1580" i="14"/>
  <c r="S1592" i="14"/>
  <c r="S1603" i="14"/>
  <c r="S1618" i="14"/>
  <c r="S1628" i="14"/>
  <c r="S1632" i="14"/>
  <c r="S1646" i="14"/>
  <c r="S1651" i="14"/>
  <c r="S1655" i="14"/>
  <c r="S1672" i="14"/>
  <c r="S1676" i="14"/>
  <c r="S1751" i="14"/>
  <c r="S1756" i="14"/>
  <c r="S1749" i="14"/>
  <c r="S1753" i="14"/>
  <c r="S364" i="14"/>
  <c r="S466" i="14"/>
  <c r="S472" i="14"/>
  <c r="S488" i="14"/>
  <c r="S498" i="14"/>
  <c r="S510" i="14"/>
  <c r="S519" i="14"/>
  <c r="S534" i="14"/>
  <c r="S539" i="14"/>
  <c r="S558" i="14"/>
  <c r="S563" i="14"/>
  <c r="S575" i="14"/>
  <c r="S582" i="14"/>
  <c r="S596" i="14"/>
  <c r="S610" i="14"/>
  <c r="S618" i="14"/>
  <c r="S629" i="14"/>
  <c r="S648" i="14"/>
  <c r="S655" i="14"/>
  <c r="S659" i="14"/>
  <c r="S679" i="14"/>
  <c r="S693" i="14"/>
  <c r="S700" i="14"/>
  <c r="S719" i="14"/>
  <c r="S735" i="14"/>
  <c r="S744" i="14"/>
  <c r="S766" i="14"/>
  <c r="S788" i="14"/>
  <c r="S796" i="14"/>
  <c r="S812" i="14"/>
  <c r="S823" i="14"/>
  <c r="S836" i="14"/>
  <c r="S856" i="14"/>
  <c r="S881" i="14"/>
  <c r="S897" i="14"/>
  <c r="S903" i="14"/>
  <c r="S909" i="14"/>
  <c r="S915" i="14"/>
  <c r="S921" i="14"/>
  <c r="S928" i="14"/>
  <c r="S933" i="14"/>
  <c r="S939" i="14"/>
  <c r="S957" i="14"/>
  <c r="S992" i="14"/>
  <c r="S1022" i="14"/>
  <c r="S1065" i="14"/>
  <c r="S1084" i="14"/>
  <c r="S1105" i="14"/>
  <c r="S1141" i="14"/>
  <c r="S1155" i="14"/>
  <c r="S1192" i="14"/>
  <c r="S1200" i="14"/>
  <c r="S1226" i="14"/>
  <c r="S1240" i="14"/>
  <c r="S1288" i="14"/>
  <c r="S1315" i="14"/>
  <c r="S1320" i="14"/>
  <c r="S1334" i="14"/>
  <c r="S1345" i="14"/>
  <c r="S1365" i="14"/>
  <c r="S1383" i="14"/>
  <c r="R1310" i="14"/>
  <c r="R1269" i="14"/>
  <c r="S1419" i="14"/>
  <c r="S1431" i="14"/>
  <c r="S1486" i="14"/>
  <c r="S1599" i="14"/>
  <c r="S1607" i="14"/>
  <c r="S1640" i="14"/>
  <c r="S1647" i="14"/>
  <c r="R916" i="14"/>
  <c r="G264" i="13"/>
  <c r="G289" i="13"/>
  <c r="Q167" i="14"/>
  <c r="K167" i="14"/>
  <c r="S167" i="14" s="1"/>
  <c r="Q201" i="14"/>
  <c r="K201" i="14"/>
  <c r="S201" i="14" s="1"/>
  <c r="Q1252" i="14"/>
  <c r="K1252" i="14"/>
  <c r="S1252" i="14" s="1"/>
  <c r="Q1235" i="14"/>
  <c r="K1235" i="14"/>
  <c r="S1235" i="14" s="1"/>
  <c r="Q1224" i="14"/>
  <c r="K1224" i="14"/>
  <c r="S1224" i="14" s="1"/>
  <c r="Q1181" i="14"/>
  <c r="K1181" i="14"/>
  <c r="S1181" i="14" s="1"/>
  <c r="Q1168" i="14"/>
  <c r="K1168" i="14"/>
  <c r="S1168" i="14" s="1"/>
  <c r="Q1098" i="14"/>
  <c r="K1098" i="14"/>
  <c r="S1098" i="14" s="1"/>
  <c r="Q1083" i="14"/>
  <c r="K1083" i="14"/>
  <c r="S1083" i="14" s="1"/>
  <c r="Q1067" i="14"/>
  <c r="K1067" i="14"/>
  <c r="S1067" i="14" s="1"/>
  <c r="Q1052" i="14"/>
  <c r="K1052" i="14"/>
  <c r="S1052" i="14" s="1"/>
  <c r="Q1028" i="14"/>
  <c r="K1028" i="14"/>
  <c r="S1028" i="14" s="1"/>
  <c r="Q1005" i="14"/>
  <c r="K1005" i="14"/>
  <c r="S1005" i="14" s="1"/>
  <c r="Q986" i="14"/>
  <c r="K986" i="14"/>
  <c r="S986" i="14" s="1"/>
  <c r="Q971" i="14"/>
  <c r="K971" i="14"/>
  <c r="S971" i="14" s="1"/>
  <c r="Q955" i="14"/>
  <c r="K955" i="14"/>
  <c r="S955" i="14" s="1"/>
  <c r="Q890" i="14"/>
  <c r="K890" i="14"/>
  <c r="S890" i="14" s="1"/>
  <c r="Q876" i="14"/>
  <c r="K876" i="14"/>
  <c r="S876" i="14" s="1"/>
  <c r="Q863" i="14"/>
  <c r="K863" i="14"/>
  <c r="S863" i="14" s="1"/>
  <c r="Q853" i="14"/>
  <c r="O853" i="14"/>
  <c r="S853" i="14" s="1"/>
  <c r="Q842" i="14"/>
  <c r="K842" i="14"/>
  <c r="S842" i="14" s="1"/>
  <c r="Q819" i="14"/>
  <c r="K819" i="14"/>
  <c r="S819" i="14" s="1"/>
  <c r="Q815" i="14"/>
  <c r="K815" i="14"/>
  <c r="S815" i="14" s="1"/>
  <c r="Q803" i="14"/>
  <c r="O803" i="14"/>
  <c r="S803" i="14" s="1"/>
  <c r="Q777" i="14"/>
  <c r="O777" i="14"/>
  <c r="S777" i="14" s="1"/>
  <c r="Q717" i="14"/>
  <c r="K717" i="14"/>
  <c r="S717" i="14" s="1"/>
  <c r="Q708" i="14"/>
  <c r="K708" i="14"/>
  <c r="S708" i="14" s="1"/>
  <c r="Q692" i="14"/>
  <c r="K692" i="14"/>
  <c r="S692" i="14" s="1"/>
  <c r="Q683" i="14"/>
  <c r="K683" i="14"/>
  <c r="S683" i="14" s="1"/>
  <c r="M641" i="14"/>
  <c r="O641" i="14" s="1"/>
  <c r="S641" i="14" s="1"/>
  <c r="O642" i="14"/>
  <c r="S642" i="14" s="1"/>
  <c r="Q636" i="14"/>
  <c r="K636" i="14"/>
  <c r="S636" i="14" s="1"/>
  <c r="Q616" i="14"/>
  <c r="K616" i="14"/>
  <c r="S616" i="14" s="1"/>
  <c r="Q587" i="14"/>
  <c r="K587" i="14"/>
  <c r="S587" i="14" s="1"/>
  <c r="Q547" i="14"/>
  <c r="O547" i="14"/>
  <c r="S547" i="14" s="1"/>
  <c r="Q462" i="14"/>
  <c r="K462" i="14"/>
  <c r="S462" i="14" s="1"/>
  <c r="Q458" i="14"/>
  <c r="K458" i="14"/>
  <c r="S458" i="14" s="1"/>
  <c r="Q1385" i="14"/>
  <c r="K1385" i="14"/>
  <c r="S1385" i="14" s="1"/>
  <c r="M1327" i="14"/>
  <c r="M1326" i="14" s="1"/>
  <c r="O1328" i="14"/>
  <c r="S1328" i="14" s="1"/>
  <c r="Q1291" i="14"/>
  <c r="O1291" i="14"/>
  <c r="S1291" i="14" s="1"/>
  <c r="Q1445" i="14"/>
  <c r="O1445" i="14"/>
  <c r="S1445" i="14" s="1"/>
  <c r="Q1434" i="14"/>
  <c r="K1434" i="14"/>
  <c r="S1434" i="14" s="1"/>
  <c r="Q1557" i="14"/>
  <c r="O1557" i="14"/>
  <c r="S1557" i="14" s="1"/>
  <c r="Q1538" i="14"/>
  <c r="K1538" i="14"/>
  <c r="S1538" i="14" s="1"/>
  <c r="Q1702" i="14"/>
  <c r="K1702" i="14"/>
  <c r="S1702" i="14" s="1"/>
  <c r="Q1691" i="14"/>
  <c r="K1691" i="14"/>
  <c r="S1691" i="14" s="1"/>
  <c r="I1661" i="14"/>
  <c r="Q1661" i="14" s="1"/>
  <c r="K1662" i="14"/>
  <c r="S1662" i="14" s="1"/>
  <c r="Q1641" i="14"/>
  <c r="K1641" i="14"/>
  <c r="S1641" i="14" s="1"/>
  <c r="Q1617" i="14"/>
  <c r="K1617" i="14"/>
  <c r="S1617" i="14" s="1"/>
  <c r="Q1612" i="14"/>
  <c r="K1612" i="14"/>
  <c r="S1612" i="14" s="1"/>
  <c r="Q1589" i="14"/>
  <c r="K1589" i="14"/>
  <c r="S1589" i="14" s="1"/>
  <c r="Q1585" i="14"/>
  <c r="K1585" i="14"/>
  <c r="S1585" i="14" s="1"/>
  <c r="Q1752" i="14"/>
  <c r="K1752" i="14"/>
  <c r="S1752" i="14" s="1"/>
  <c r="N120" i="14"/>
  <c r="R121" i="14"/>
  <c r="J291" i="14"/>
  <c r="K276" i="14"/>
  <c r="S276" i="14" s="1"/>
  <c r="K345" i="14"/>
  <c r="S345" i="14" s="1"/>
  <c r="K378" i="14"/>
  <c r="S378" i="14" s="1"/>
  <c r="R358" i="14"/>
  <c r="Q183" i="14"/>
  <c r="K183" i="14"/>
  <c r="S183" i="14" s="1"/>
  <c r="I117" i="14"/>
  <c r="I116" i="14" s="1"/>
  <c r="K118" i="14"/>
  <c r="S118" i="14" s="1"/>
  <c r="M250" i="14"/>
  <c r="Q250" i="14" s="1"/>
  <c r="O251" i="14"/>
  <c r="S251" i="14" s="1"/>
  <c r="Q241" i="14"/>
  <c r="M230" i="14"/>
  <c r="M221" i="14" s="1"/>
  <c r="O231" i="14"/>
  <c r="S231" i="14" s="1"/>
  <c r="Q226" i="14"/>
  <c r="K226" i="14"/>
  <c r="S226" i="14" s="1"/>
  <c r="Q332" i="14"/>
  <c r="K332" i="14"/>
  <c r="S332" i="14" s="1"/>
  <c r="Q328" i="14"/>
  <c r="K328" i="14"/>
  <c r="S328" i="14" s="1"/>
  <c r="I315" i="14"/>
  <c r="K316" i="14"/>
  <c r="S316" i="14" s="1"/>
  <c r="Q283" i="14"/>
  <c r="K283" i="14"/>
  <c r="S283" i="14" s="1"/>
  <c r="Q279" i="14"/>
  <c r="K279" i="14"/>
  <c r="S279" i="14" s="1"/>
  <c r="Q274" i="14"/>
  <c r="K274" i="14"/>
  <c r="S274" i="14" s="1"/>
  <c r="Q431" i="14"/>
  <c r="O431" i="14"/>
  <c r="S431" i="14" s="1"/>
  <c r="Q1254" i="14"/>
  <c r="K1254" i="14"/>
  <c r="S1254" i="14" s="1"/>
  <c r="Q1251" i="14"/>
  <c r="K1251" i="14"/>
  <c r="S1251" i="14" s="1"/>
  <c r="Q1245" i="14"/>
  <c r="K1245" i="14"/>
  <c r="S1245" i="14" s="1"/>
  <c r="I1238" i="14"/>
  <c r="K1239" i="14"/>
  <c r="S1239" i="14" s="1"/>
  <c r="Q1233" i="14"/>
  <c r="K1233" i="14"/>
  <c r="S1233" i="14" s="1"/>
  <c r="Q1223" i="14"/>
  <c r="K1223" i="14"/>
  <c r="S1223" i="14" s="1"/>
  <c r="Q1218" i="14"/>
  <c r="K1218" i="14"/>
  <c r="S1218" i="14" s="1"/>
  <c r="Q1214" i="14"/>
  <c r="K1214" i="14"/>
  <c r="S1214" i="14" s="1"/>
  <c r="Q1209" i="14"/>
  <c r="K1209" i="14"/>
  <c r="S1209" i="14" s="1"/>
  <c r="Q1189" i="14"/>
  <c r="K1189" i="14"/>
  <c r="S1189" i="14" s="1"/>
  <c r="Q1180" i="14"/>
  <c r="K1180" i="14"/>
  <c r="S1180" i="14" s="1"/>
  <c r="Q1158" i="14"/>
  <c r="K1158" i="14"/>
  <c r="S1158" i="14" s="1"/>
  <c r="Q1122" i="14"/>
  <c r="K1122" i="14"/>
  <c r="S1122" i="14" s="1"/>
  <c r="Q1117" i="14"/>
  <c r="K1117" i="14"/>
  <c r="S1117" i="14" s="1"/>
  <c r="Q1112" i="14"/>
  <c r="K1112" i="14"/>
  <c r="S1112" i="14" s="1"/>
  <c r="Q1103" i="14"/>
  <c r="K1103" i="14"/>
  <c r="S1103" i="14" s="1"/>
  <c r="Q1087" i="14"/>
  <c r="K1087" i="14"/>
  <c r="S1087" i="14" s="1"/>
  <c r="Q1081" i="14"/>
  <c r="K1081" i="14"/>
  <c r="S1081" i="14" s="1"/>
  <c r="Q1076" i="14"/>
  <c r="K1076" i="14"/>
  <c r="S1076" i="14" s="1"/>
  <c r="Q1060" i="14"/>
  <c r="K1060" i="14"/>
  <c r="S1060" i="14" s="1"/>
  <c r="Q1051" i="14"/>
  <c r="K1051" i="14"/>
  <c r="S1051" i="14" s="1"/>
  <c r="Q1046" i="14"/>
  <c r="K1046" i="14"/>
  <c r="S1046" i="14" s="1"/>
  <c r="Q1040" i="14"/>
  <c r="K1040" i="14"/>
  <c r="S1040" i="14" s="1"/>
  <c r="Q1035" i="14"/>
  <c r="K1035" i="14"/>
  <c r="S1035" i="14" s="1"/>
  <c r="Q1027" i="14"/>
  <c r="K1027" i="14"/>
  <c r="S1027" i="14" s="1"/>
  <c r="Q1021" i="14"/>
  <c r="K1021" i="14"/>
  <c r="S1021" i="14" s="1"/>
  <c r="Q1016" i="14"/>
  <c r="K1016" i="14"/>
  <c r="S1016" i="14" s="1"/>
  <c r="Q995" i="14"/>
  <c r="K995" i="14"/>
  <c r="S995" i="14" s="1"/>
  <c r="Q990" i="14"/>
  <c r="K990" i="14"/>
  <c r="S990" i="14" s="1"/>
  <c r="Q981" i="14"/>
  <c r="K981" i="14"/>
  <c r="S981" i="14" s="1"/>
  <c r="Q976" i="14"/>
  <c r="K976" i="14"/>
  <c r="S976" i="14" s="1"/>
  <c r="Q970" i="14"/>
  <c r="K970" i="14"/>
  <c r="S970" i="14" s="1"/>
  <c r="Q889" i="14"/>
  <c r="K889" i="14"/>
  <c r="S889" i="14" s="1"/>
  <c r="Q875" i="14"/>
  <c r="K875" i="14"/>
  <c r="S875" i="14" s="1"/>
  <c r="Q866" i="14"/>
  <c r="K866" i="14"/>
  <c r="S866" i="14" s="1"/>
  <c r="Q862" i="14"/>
  <c r="K862" i="14"/>
  <c r="S862" i="14" s="1"/>
  <c r="Q850" i="14"/>
  <c r="K850" i="14"/>
  <c r="S850" i="14" s="1"/>
  <c r="Q846" i="14"/>
  <c r="K846" i="14"/>
  <c r="S846" i="14" s="1"/>
  <c r="Q841" i="14"/>
  <c r="Q838" i="14"/>
  <c r="Q818" i="14"/>
  <c r="K818" i="14"/>
  <c r="S818" i="14" s="1"/>
  <c r="Q814" i="14"/>
  <c r="K814" i="14"/>
  <c r="S814" i="14" s="1"/>
  <c r="Q800" i="14"/>
  <c r="K800" i="14"/>
  <c r="S800" i="14" s="1"/>
  <c r="Q786" i="14"/>
  <c r="K786" i="14"/>
  <c r="S786" i="14" s="1"/>
  <c r="Q774" i="14"/>
  <c r="K774" i="14"/>
  <c r="S774" i="14" s="1"/>
  <c r="Q770" i="14"/>
  <c r="K770" i="14"/>
  <c r="S770" i="14" s="1"/>
  <c r="Q765" i="14"/>
  <c r="K765" i="14"/>
  <c r="S765" i="14" s="1"/>
  <c r="Q746" i="14"/>
  <c r="K746" i="14"/>
  <c r="S746" i="14" s="1"/>
  <c r="Q742" i="14"/>
  <c r="K742" i="14"/>
  <c r="S742" i="14" s="1"/>
  <c r="Q737" i="14"/>
  <c r="K737" i="14"/>
  <c r="S737" i="14" s="1"/>
  <c r="Q728" i="14"/>
  <c r="K728" i="14"/>
  <c r="S728" i="14" s="1"/>
  <c r="Q720" i="14"/>
  <c r="K720" i="14"/>
  <c r="S720" i="14" s="1"/>
  <c r="Q711" i="14"/>
  <c r="K711" i="14"/>
  <c r="S711" i="14" s="1"/>
  <c r="Q707" i="14"/>
  <c r="K707" i="14"/>
  <c r="S707" i="14" s="1"/>
  <c r="Q695" i="14"/>
  <c r="K695" i="14"/>
  <c r="S695" i="14" s="1"/>
  <c r="Q691" i="14"/>
  <c r="K691" i="14"/>
  <c r="S691" i="14" s="1"/>
  <c r="Q682" i="14"/>
  <c r="K682" i="14"/>
  <c r="S682" i="14" s="1"/>
  <c r="Q675" i="14"/>
  <c r="O675" i="14"/>
  <c r="S675" i="14" s="1"/>
  <c r="Q653" i="14"/>
  <c r="K653" i="14"/>
  <c r="S653" i="14" s="1"/>
  <c r="Q635" i="14"/>
  <c r="K635" i="14"/>
  <c r="S635" i="14" s="1"/>
  <c r="Q625" i="14"/>
  <c r="K625" i="14"/>
  <c r="S625" i="14" s="1"/>
  <c r="Q577" i="14"/>
  <c r="K577" i="14"/>
  <c r="S577" i="14" s="1"/>
  <c r="Q567" i="14"/>
  <c r="K567" i="14"/>
  <c r="S567" i="14" s="1"/>
  <c r="Q556" i="14"/>
  <c r="K556" i="14"/>
  <c r="S556" i="14" s="1"/>
  <c r="Q524" i="14"/>
  <c r="K524" i="14"/>
  <c r="S524" i="14" s="1"/>
  <c r="I509" i="14"/>
  <c r="Q509" i="14" s="1"/>
  <c r="K511" i="14"/>
  <c r="S511" i="14" s="1"/>
  <c r="Q477" i="14"/>
  <c r="K477" i="14"/>
  <c r="S477" i="14" s="1"/>
  <c r="I468" i="14"/>
  <c r="K468" i="14" s="1"/>
  <c r="S468" i="14" s="1"/>
  <c r="K471" i="14"/>
  <c r="S471" i="14" s="1"/>
  <c r="Q461" i="14"/>
  <c r="K461" i="14"/>
  <c r="S461" i="14" s="1"/>
  <c r="Q457" i="14"/>
  <c r="K457" i="14"/>
  <c r="S457" i="14" s="1"/>
  <c r="Q1384" i="14"/>
  <c r="K1384" i="14"/>
  <c r="S1384" i="14" s="1"/>
  <c r="Q1380" i="14"/>
  <c r="K1380" i="14"/>
  <c r="S1380" i="14" s="1"/>
  <c r="I1343" i="14"/>
  <c r="K1343" i="14" s="1"/>
  <c r="S1343" i="14" s="1"/>
  <c r="K1344" i="14"/>
  <c r="S1344" i="14" s="1"/>
  <c r="Q1332" i="14"/>
  <c r="K1332" i="14"/>
  <c r="S1332" i="14" s="1"/>
  <c r="I1313" i="14"/>
  <c r="K1316" i="14"/>
  <c r="S1316" i="14" s="1"/>
  <c r="Q1304" i="14"/>
  <c r="K1304" i="14"/>
  <c r="S1304" i="14" s="1"/>
  <c r="I1294" i="14"/>
  <c r="K1295" i="14"/>
  <c r="S1295" i="14" s="1"/>
  <c r="I1271" i="14"/>
  <c r="K1272" i="14"/>
  <c r="S1272" i="14" s="1"/>
  <c r="Q1433" i="14"/>
  <c r="K1433" i="14"/>
  <c r="S1433" i="14" s="1"/>
  <c r="I1396" i="14"/>
  <c r="K1397" i="14"/>
  <c r="S1397" i="14" s="1"/>
  <c r="Q1540" i="14"/>
  <c r="Q1537" i="14"/>
  <c r="K1537" i="14"/>
  <c r="S1537" i="14" s="1"/>
  <c r="Q1529" i="14"/>
  <c r="K1529" i="14"/>
  <c r="S1529" i="14" s="1"/>
  <c r="Q1502" i="14"/>
  <c r="K1502" i="14"/>
  <c r="S1502" i="14" s="1"/>
  <c r="Q1496" i="14"/>
  <c r="K1496" i="14"/>
  <c r="S1496" i="14" s="1"/>
  <c r="Q1487" i="14"/>
  <c r="K1487" i="14"/>
  <c r="S1487" i="14" s="1"/>
  <c r="Q1734" i="14"/>
  <c r="K1734" i="14"/>
  <c r="S1734" i="14" s="1"/>
  <c r="Q1717" i="14"/>
  <c r="K1717" i="14"/>
  <c r="S1717" i="14" s="1"/>
  <c r="Q1713" i="14"/>
  <c r="K1713" i="14"/>
  <c r="S1713" i="14" s="1"/>
  <c r="Q1706" i="14"/>
  <c r="K1706" i="14"/>
  <c r="S1706" i="14" s="1"/>
  <c r="Q1699" i="14"/>
  <c r="K1699" i="14"/>
  <c r="S1699" i="14" s="1"/>
  <c r="S16" i="14"/>
  <c r="K92" i="14"/>
  <c r="S92" i="14" s="1"/>
  <c r="S104" i="14"/>
  <c r="S132" i="14"/>
  <c r="S136" i="14"/>
  <c r="S140" i="14"/>
  <c r="N109" i="14"/>
  <c r="R109" i="14" s="1"/>
  <c r="R113" i="14"/>
  <c r="O135" i="14"/>
  <c r="S135" i="14" s="1"/>
  <c r="S236" i="14"/>
  <c r="S297" i="14"/>
  <c r="S301" i="14"/>
  <c r="S327" i="14"/>
  <c r="O289" i="14"/>
  <c r="S289" i="14" s="1"/>
  <c r="R303" i="14"/>
  <c r="K365" i="14"/>
  <c r="S365" i="14" s="1"/>
  <c r="K370" i="14"/>
  <c r="S370" i="14" s="1"/>
  <c r="O372" i="14"/>
  <c r="S372" i="14" s="1"/>
  <c r="O381" i="14"/>
  <c r="S381" i="14" s="1"/>
  <c r="Q83" i="14"/>
  <c r="K83" i="14"/>
  <c r="S83" i="14" s="1"/>
  <c r="Q178" i="14"/>
  <c r="O178" i="14"/>
  <c r="S178" i="14" s="1"/>
  <c r="I257" i="14"/>
  <c r="K257" i="14" s="1"/>
  <c r="S257" i="14" s="1"/>
  <c r="K258" i="14"/>
  <c r="S258" i="14" s="1"/>
  <c r="Q367" i="14"/>
  <c r="K367" i="14"/>
  <c r="S367" i="14" s="1"/>
  <c r="Q1255" i="14"/>
  <c r="K1255" i="14"/>
  <c r="S1255" i="14" s="1"/>
  <c r="Q1247" i="14"/>
  <c r="K1247" i="14"/>
  <c r="S1247" i="14" s="1"/>
  <c r="Q1205" i="14"/>
  <c r="K1205" i="14"/>
  <c r="S1205" i="14" s="1"/>
  <c r="Q1196" i="14"/>
  <c r="K1196" i="14"/>
  <c r="S1196" i="14" s="1"/>
  <c r="Q1177" i="14"/>
  <c r="K1177" i="14"/>
  <c r="S1177" i="14" s="1"/>
  <c r="Q1146" i="14"/>
  <c r="K1146" i="14"/>
  <c r="S1146" i="14" s="1"/>
  <c r="Q1118" i="14"/>
  <c r="K1118" i="14"/>
  <c r="S1118" i="14" s="1"/>
  <c r="Q1104" i="14"/>
  <c r="K1104" i="14"/>
  <c r="S1104" i="14" s="1"/>
  <c r="Q1088" i="14"/>
  <c r="K1088" i="14"/>
  <c r="S1088" i="14" s="1"/>
  <c r="Q1078" i="14"/>
  <c r="K1078" i="14"/>
  <c r="S1078" i="14" s="1"/>
  <c r="Q1036" i="14"/>
  <c r="K1036" i="14"/>
  <c r="S1036" i="14" s="1"/>
  <c r="Q997" i="14"/>
  <c r="K997" i="14"/>
  <c r="S997" i="14" s="1"/>
  <c r="Q868" i="14"/>
  <c r="K868" i="14"/>
  <c r="S868" i="14" s="1"/>
  <c r="Q847" i="14"/>
  <c r="K847" i="14"/>
  <c r="S847" i="14" s="1"/>
  <c r="Q828" i="14"/>
  <c r="K828" i="14"/>
  <c r="S828" i="14" s="1"/>
  <c r="Q743" i="14"/>
  <c r="K743" i="14"/>
  <c r="S743" i="14" s="1"/>
  <c r="Q721" i="14"/>
  <c r="K721" i="14"/>
  <c r="S721" i="14" s="1"/>
  <c r="Q687" i="14"/>
  <c r="K687" i="14"/>
  <c r="S687" i="14" s="1"/>
  <c r="K84" i="14"/>
  <c r="S84" i="14" s="1"/>
  <c r="J181" i="14"/>
  <c r="R181" i="14" s="1"/>
  <c r="R182" i="14"/>
  <c r="J116" i="14"/>
  <c r="J105" i="14" s="1"/>
  <c r="R117" i="14"/>
  <c r="K153" i="14"/>
  <c r="S153" i="14" s="1"/>
  <c r="N174" i="14"/>
  <c r="R178" i="14"/>
  <c r="R153" i="14"/>
  <c r="I86" i="14"/>
  <c r="I80" i="14" s="1"/>
  <c r="K87" i="14"/>
  <c r="S87" i="14" s="1"/>
  <c r="Q148" i="14"/>
  <c r="K148" i="14"/>
  <c r="S148" i="14" s="1"/>
  <c r="I109" i="14"/>
  <c r="K109" i="14" s="1"/>
  <c r="K110" i="14"/>
  <c r="S110" i="14" s="1"/>
  <c r="I102" i="14"/>
  <c r="K103" i="14"/>
  <c r="S103" i="14" s="1"/>
  <c r="I211" i="14"/>
  <c r="K214" i="14"/>
  <c r="S214" i="14" s="1"/>
  <c r="I300" i="14"/>
  <c r="K300" i="14" s="1"/>
  <c r="K303" i="14"/>
  <c r="S303" i="14" s="1"/>
  <c r="Q282" i="14"/>
  <c r="K282" i="14"/>
  <c r="S282" i="14" s="1"/>
  <c r="Q1257" i="14"/>
  <c r="K1257" i="14"/>
  <c r="S1257" i="14" s="1"/>
  <c r="Q1253" i="14"/>
  <c r="Q1232" i="14"/>
  <c r="K1232" i="14"/>
  <c r="S1232" i="14" s="1"/>
  <c r="Q1222" i="14"/>
  <c r="K1222" i="14"/>
  <c r="S1222" i="14" s="1"/>
  <c r="Q1207" i="14"/>
  <c r="K1207" i="14"/>
  <c r="S1207" i="14" s="1"/>
  <c r="Q1194" i="14"/>
  <c r="K1194" i="14"/>
  <c r="S1194" i="14" s="1"/>
  <c r="Q1188" i="14"/>
  <c r="K1188" i="14"/>
  <c r="S1188" i="14" s="1"/>
  <c r="Q1179" i="14"/>
  <c r="K1179" i="14"/>
  <c r="S1179" i="14" s="1"/>
  <c r="Q1157" i="14"/>
  <c r="K1157" i="14"/>
  <c r="S1157" i="14" s="1"/>
  <c r="K1152" i="14"/>
  <c r="S1152" i="14" s="1"/>
  <c r="Q1147" i="14"/>
  <c r="Q1139" i="14"/>
  <c r="K1139" i="14"/>
  <c r="S1139" i="14" s="1"/>
  <c r="Q1121" i="14"/>
  <c r="K1121" i="14"/>
  <c r="S1121" i="14" s="1"/>
  <c r="Q1111" i="14"/>
  <c r="K1111" i="14"/>
  <c r="S1111" i="14" s="1"/>
  <c r="Q1106" i="14"/>
  <c r="K1106" i="14"/>
  <c r="S1106" i="14" s="1"/>
  <c r="Q1096" i="14"/>
  <c r="K1096" i="14"/>
  <c r="S1096" i="14" s="1"/>
  <c r="Q1091" i="14"/>
  <c r="K1091" i="14"/>
  <c r="S1091" i="14" s="1"/>
  <c r="Q1086" i="14"/>
  <c r="K1086" i="14"/>
  <c r="S1086" i="14" s="1"/>
  <c r="Q1075" i="14"/>
  <c r="K1075" i="14"/>
  <c r="S1075" i="14" s="1"/>
  <c r="Q1070" i="14"/>
  <c r="K1070" i="14"/>
  <c r="S1070" i="14" s="1"/>
  <c r="Q1064" i="14"/>
  <c r="K1064" i="14"/>
  <c r="S1064" i="14" s="1"/>
  <c r="Q1059" i="14"/>
  <c r="Q1055" i="14"/>
  <c r="K1055" i="14"/>
  <c r="S1055" i="14" s="1"/>
  <c r="Q1044" i="14"/>
  <c r="K1044" i="14"/>
  <c r="S1044" i="14" s="1"/>
  <c r="Q1025" i="14"/>
  <c r="K1025" i="14"/>
  <c r="S1025" i="14" s="1"/>
  <c r="Q1020" i="14"/>
  <c r="K1020" i="14"/>
  <c r="S1020" i="14" s="1"/>
  <c r="Q1008" i="14"/>
  <c r="K1008" i="14"/>
  <c r="S1008" i="14" s="1"/>
  <c r="Q994" i="14"/>
  <c r="K994" i="14"/>
  <c r="S994" i="14" s="1"/>
  <c r="Q989" i="14"/>
  <c r="K989" i="14"/>
  <c r="S989" i="14" s="1"/>
  <c r="Q980" i="14"/>
  <c r="K980" i="14"/>
  <c r="S980" i="14" s="1"/>
  <c r="Q975" i="14"/>
  <c r="K975" i="14"/>
  <c r="S975" i="14" s="1"/>
  <c r="Q969" i="14"/>
  <c r="K969" i="14"/>
  <c r="S969" i="14" s="1"/>
  <c r="I916" i="14"/>
  <c r="K916" i="14" s="1"/>
  <c r="S916" i="14" s="1"/>
  <c r="K918" i="14"/>
  <c r="S918" i="14" s="1"/>
  <c r="Q883" i="14"/>
  <c r="K883" i="14"/>
  <c r="S883" i="14" s="1"/>
  <c r="Q869" i="14"/>
  <c r="Q865" i="14"/>
  <c r="K865" i="14"/>
  <c r="S865" i="14" s="1"/>
  <c r="Q861" i="14"/>
  <c r="K861" i="14"/>
  <c r="S861" i="14" s="1"/>
  <c r="Q849" i="14"/>
  <c r="K849" i="14"/>
  <c r="S849" i="14" s="1"/>
  <c r="Q831" i="14"/>
  <c r="O831" i="14"/>
  <c r="S831" i="14" s="1"/>
  <c r="Q789" i="14"/>
  <c r="K789" i="14"/>
  <c r="S789" i="14" s="1"/>
  <c r="Q785" i="14"/>
  <c r="K785" i="14"/>
  <c r="S785" i="14" s="1"/>
  <c r="Q773" i="14"/>
  <c r="K773" i="14"/>
  <c r="S773" i="14" s="1"/>
  <c r="Q764" i="14"/>
  <c r="Q761" i="14"/>
  <c r="Q757" i="14"/>
  <c r="K757" i="14"/>
  <c r="S757" i="14" s="1"/>
  <c r="Q732" i="14"/>
  <c r="K732" i="14"/>
  <c r="S732" i="14" s="1"/>
  <c r="Q727" i="14"/>
  <c r="Q706" i="14"/>
  <c r="K706" i="14"/>
  <c r="S706" i="14" s="1"/>
  <c r="Q694" i="14"/>
  <c r="K694" i="14"/>
  <c r="S694" i="14" s="1"/>
  <c r="Q685" i="14"/>
  <c r="K685" i="14"/>
  <c r="S685" i="14" s="1"/>
  <c r="Q585" i="14"/>
  <c r="Q576" i="14"/>
  <c r="K576" i="14"/>
  <c r="S576" i="14" s="1"/>
  <c r="Q560" i="14"/>
  <c r="O560" i="14"/>
  <c r="S560" i="14" s="1"/>
  <c r="Q523" i="14"/>
  <c r="K523" i="14"/>
  <c r="S523" i="14" s="1"/>
  <c r="M503" i="14"/>
  <c r="M494" i="14" s="1"/>
  <c r="O504" i="14"/>
  <c r="S504" i="14" s="1"/>
  <c r="Q499" i="14"/>
  <c r="K499" i="14"/>
  <c r="S499" i="14" s="1"/>
  <c r="Q464" i="14"/>
  <c r="K464" i="14"/>
  <c r="S464" i="14" s="1"/>
  <c r="Q460" i="14"/>
  <c r="K460" i="14"/>
  <c r="S460" i="14" s="1"/>
  <c r="Q1379" i="14"/>
  <c r="K1379" i="14"/>
  <c r="S1379" i="14" s="1"/>
  <c r="Q1368" i="14"/>
  <c r="O1368" i="14"/>
  <c r="S1368" i="14" s="1"/>
  <c r="Q1338" i="14"/>
  <c r="I1323" i="14"/>
  <c r="K1324" i="14"/>
  <c r="S1324" i="14" s="1"/>
  <c r="O1307" i="14"/>
  <c r="S1307" i="14" s="1"/>
  <c r="O1310" i="14"/>
  <c r="S1310" i="14" s="1"/>
  <c r="M1449" i="14"/>
  <c r="O1449" i="14" s="1"/>
  <c r="O1452" i="14"/>
  <c r="S1452" i="14" s="1"/>
  <c r="Q1447" i="14"/>
  <c r="O1447" i="14"/>
  <c r="S1447" i="14" s="1"/>
  <c r="M1428" i="14"/>
  <c r="Q1418" i="14"/>
  <c r="K1418" i="14"/>
  <c r="S1418" i="14" s="1"/>
  <c r="Q1413" i="14"/>
  <c r="K1413" i="14"/>
  <c r="S1413" i="14" s="1"/>
  <c r="Q1546" i="14"/>
  <c r="K1546" i="14"/>
  <c r="S1546" i="14" s="1"/>
  <c r="Q1521" i="14"/>
  <c r="K1521" i="14"/>
  <c r="S1521" i="14" s="1"/>
  <c r="M1505" i="14"/>
  <c r="M1501" i="14" s="1"/>
  <c r="O1506" i="14"/>
  <c r="S1506" i="14" s="1"/>
  <c r="Q1499" i="14"/>
  <c r="K1499" i="14"/>
  <c r="S1499" i="14" s="1"/>
  <c r="Q1495" i="14"/>
  <c r="K1495" i="14"/>
  <c r="S1495" i="14" s="1"/>
  <c r="Q1481" i="14"/>
  <c r="K1481" i="14"/>
  <c r="S1481" i="14" s="1"/>
  <c r="O1685" i="14"/>
  <c r="S1685" i="14" s="1"/>
  <c r="Q1685" i="14"/>
  <c r="Q1670" i="14"/>
  <c r="K1670" i="14"/>
  <c r="S1670" i="14" s="1"/>
  <c r="M1657" i="14"/>
  <c r="Q1657" i="14" s="1"/>
  <c r="O1658" i="14"/>
  <c r="S1658" i="14" s="1"/>
  <c r="Q1625" i="14"/>
  <c r="Q1619" i="14"/>
  <c r="K1619" i="14"/>
  <c r="S1619" i="14" s="1"/>
  <c r="Q1764" i="14"/>
  <c r="K1764" i="14"/>
  <c r="S1764" i="14" s="1"/>
  <c r="Q1759" i="14"/>
  <c r="M1754" i="14"/>
  <c r="O1754" i="14" s="1"/>
  <c r="S1754" i="14" s="1"/>
  <c r="O1755" i="14"/>
  <c r="S1755" i="14" s="1"/>
  <c r="R47" i="14"/>
  <c r="K81" i="14"/>
  <c r="S81" i="14" s="1"/>
  <c r="K125" i="14"/>
  <c r="S125" i="14" s="1"/>
  <c r="K129" i="14"/>
  <c r="S129" i="14" s="1"/>
  <c r="K169" i="14"/>
  <c r="S169" i="14" s="1"/>
  <c r="S173" i="14"/>
  <c r="J244" i="14"/>
  <c r="R245" i="14"/>
  <c r="K204" i="14"/>
  <c r="S204" i="14" s="1"/>
  <c r="K208" i="14"/>
  <c r="S208" i="14" s="1"/>
  <c r="S232" i="14"/>
  <c r="O253" i="14"/>
  <c r="S253" i="14" s="1"/>
  <c r="R203" i="14"/>
  <c r="R197" i="14"/>
  <c r="S323" i="14"/>
  <c r="K366" i="14"/>
  <c r="S366" i="14" s="1"/>
  <c r="S376" i="14"/>
  <c r="O349" i="14"/>
  <c r="S349" i="14" s="1"/>
  <c r="O421" i="14"/>
  <c r="S421" i="14" s="1"/>
  <c r="I106" i="14"/>
  <c r="K107" i="14"/>
  <c r="S107" i="14" s="1"/>
  <c r="Q239" i="14"/>
  <c r="K239" i="14"/>
  <c r="S239" i="14" s="1"/>
  <c r="Q1215" i="14"/>
  <c r="K1215" i="14"/>
  <c r="S1215" i="14" s="1"/>
  <c r="Q1186" i="14"/>
  <c r="K1186" i="14"/>
  <c r="S1186" i="14" s="1"/>
  <c r="Q1128" i="14"/>
  <c r="K1128" i="14"/>
  <c r="S1128" i="14" s="1"/>
  <c r="Q1108" i="14"/>
  <c r="K1108" i="14"/>
  <c r="S1108" i="14" s="1"/>
  <c r="Q1062" i="14"/>
  <c r="K1062" i="14"/>
  <c r="S1062" i="14" s="1"/>
  <c r="Q1047" i="14"/>
  <c r="K1047" i="14"/>
  <c r="S1047" i="14" s="1"/>
  <c r="Q978" i="14"/>
  <c r="K978" i="14"/>
  <c r="S978" i="14" s="1"/>
  <c r="I907" i="14"/>
  <c r="K907" i="14" s="1"/>
  <c r="S907" i="14" s="1"/>
  <c r="K910" i="14"/>
  <c r="S910" i="14" s="1"/>
  <c r="Q885" i="14"/>
  <c r="K885" i="14"/>
  <c r="S885" i="14" s="1"/>
  <c r="Q872" i="14"/>
  <c r="K872" i="14"/>
  <c r="S872" i="14" s="1"/>
  <c r="Q859" i="14"/>
  <c r="K859" i="14"/>
  <c r="S859" i="14" s="1"/>
  <c r="Q839" i="14"/>
  <c r="K839" i="14"/>
  <c r="S839" i="14" s="1"/>
  <c r="Q810" i="14"/>
  <c r="K810" i="14"/>
  <c r="S810" i="14" s="1"/>
  <c r="I1449" i="14"/>
  <c r="K1450" i="14"/>
  <c r="S1450" i="14" s="1"/>
  <c r="I1435" i="14"/>
  <c r="I1432" i="14" s="1"/>
  <c r="K1439" i="14"/>
  <c r="S1439" i="14" s="1"/>
  <c r="Q1727" i="14"/>
  <c r="K1727" i="14"/>
  <c r="S1727" i="14" s="1"/>
  <c r="Q1714" i="14"/>
  <c r="K1714" i="14"/>
  <c r="S1714" i="14" s="1"/>
  <c r="I1693" i="14"/>
  <c r="K1693" i="14" s="1"/>
  <c r="S1693" i="14" s="1"/>
  <c r="K1696" i="14"/>
  <c r="S1696" i="14" s="1"/>
  <c r="Q175" i="14"/>
  <c r="O175" i="14"/>
  <c r="S175" i="14" s="1"/>
  <c r="Q164" i="14"/>
  <c r="K164" i="14"/>
  <c r="S164" i="14" s="1"/>
  <c r="M120" i="14"/>
  <c r="Q120" i="14" s="1"/>
  <c r="O121" i="14"/>
  <c r="S121" i="14" s="1"/>
  <c r="M113" i="14"/>
  <c r="M109" i="14" s="1"/>
  <c r="O114" i="14"/>
  <c r="S114" i="14" s="1"/>
  <c r="Q243" i="14"/>
  <c r="K243" i="14"/>
  <c r="S243" i="14" s="1"/>
  <c r="Q202" i="14"/>
  <c r="K202" i="14"/>
  <c r="S202" i="14" s="1"/>
  <c r="I194" i="14"/>
  <c r="K197" i="14"/>
  <c r="S197" i="14" s="1"/>
  <c r="Q1256" i="14"/>
  <c r="K1256" i="14"/>
  <c r="S1256" i="14" s="1"/>
  <c r="Q1248" i="14"/>
  <c r="K1248" i="14"/>
  <c r="S1248" i="14" s="1"/>
  <c r="Q1236" i="14"/>
  <c r="K1236" i="14"/>
  <c r="S1236" i="14" s="1"/>
  <c r="I1229" i="14"/>
  <c r="K1230" i="14"/>
  <c r="S1230" i="14" s="1"/>
  <c r="Q1216" i="14"/>
  <c r="K1216" i="14"/>
  <c r="S1216" i="14" s="1"/>
  <c r="Q1206" i="14"/>
  <c r="K1206" i="14"/>
  <c r="S1206" i="14" s="1"/>
  <c r="Q1187" i="14"/>
  <c r="K1187" i="14"/>
  <c r="S1187" i="14" s="1"/>
  <c r="Q1178" i="14"/>
  <c r="K1178" i="14"/>
  <c r="S1178" i="14" s="1"/>
  <c r="Q1169" i="14"/>
  <c r="K1169" i="14"/>
  <c r="S1169" i="14" s="1"/>
  <c r="Q1165" i="14"/>
  <c r="K1165" i="14"/>
  <c r="S1165" i="14" s="1"/>
  <c r="Q1138" i="14"/>
  <c r="K1138" i="14"/>
  <c r="S1138" i="14" s="1"/>
  <c r="Q1109" i="14"/>
  <c r="K1109" i="14"/>
  <c r="S1109" i="14" s="1"/>
  <c r="Q1100" i="14"/>
  <c r="K1100" i="14"/>
  <c r="S1100" i="14" s="1"/>
  <c r="Q1095" i="14"/>
  <c r="K1095" i="14"/>
  <c r="S1095" i="14" s="1"/>
  <c r="Q1089" i="14"/>
  <c r="K1089" i="14"/>
  <c r="S1089" i="14" s="1"/>
  <c r="Q1068" i="14"/>
  <c r="K1068" i="14"/>
  <c r="S1068" i="14" s="1"/>
  <c r="Q1054" i="14"/>
  <c r="K1054" i="14"/>
  <c r="S1054" i="14" s="1"/>
  <c r="Q1048" i="14"/>
  <c r="K1048" i="14"/>
  <c r="S1048" i="14" s="1"/>
  <c r="Q1043" i="14"/>
  <c r="K1043" i="14"/>
  <c r="S1043" i="14" s="1"/>
  <c r="Q1038" i="14"/>
  <c r="K1038" i="14"/>
  <c r="S1038" i="14" s="1"/>
  <c r="Q1029" i="14"/>
  <c r="K1029" i="14"/>
  <c r="S1029" i="14" s="1"/>
  <c r="Q1024" i="14"/>
  <c r="K1024" i="14"/>
  <c r="S1024" i="14" s="1"/>
  <c r="Q1019" i="14"/>
  <c r="K1019" i="14"/>
  <c r="S1019" i="14" s="1"/>
  <c r="Q1010" i="14"/>
  <c r="K1010" i="14"/>
  <c r="S1010" i="14" s="1"/>
  <c r="Q1006" i="14"/>
  <c r="K1006" i="14"/>
  <c r="S1006" i="14" s="1"/>
  <c r="Q998" i="14"/>
  <c r="K998" i="14"/>
  <c r="S998" i="14" s="1"/>
  <c r="Q987" i="14"/>
  <c r="K987" i="14"/>
  <c r="S987" i="14" s="1"/>
  <c r="Q979" i="14"/>
  <c r="K979" i="14"/>
  <c r="S979" i="14" s="1"/>
  <c r="Q972" i="14"/>
  <c r="K972" i="14"/>
  <c r="S972" i="14" s="1"/>
  <c r="Q968" i="14"/>
  <c r="K968" i="14"/>
  <c r="S968" i="14" s="1"/>
  <c r="Q959" i="14"/>
  <c r="K959" i="14"/>
  <c r="S959" i="14" s="1"/>
  <c r="Q956" i="14"/>
  <c r="K956" i="14"/>
  <c r="S956" i="14" s="1"/>
  <c r="Q951" i="14"/>
  <c r="K951" i="14"/>
  <c r="S951" i="14" s="1"/>
  <c r="I934" i="14"/>
  <c r="K934" i="14" s="1"/>
  <c r="S934" i="14" s="1"/>
  <c r="K937" i="14"/>
  <c r="S937" i="14" s="1"/>
  <c r="I925" i="14"/>
  <c r="Q925" i="14" s="1"/>
  <c r="K927" i="14"/>
  <c r="S927" i="14" s="1"/>
  <c r="Q886" i="14"/>
  <c r="K886" i="14"/>
  <c r="S886" i="14" s="1"/>
  <c r="Q873" i="14"/>
  <c r="K873" i="14"/>
  <c r="S873" i="14" s="1"/>
  <c r="Q864" i="14"/>
  <c r="K864" i="14"/>
  <c r="S864" i="14" s="1"/>
  <c r="Q860" i="14"/>
  <c r="K860" i="14"/>
  <c r="S860" i="14" s="1"/>
  <c r="Q848" i="14"/>
  <c r="K848" i="14"/>
  <c r="S848" i="14" s="1"/>
  <c r="Q820" i="14"/>
  <c r="K820" i="14"/>
  <c r="S820" i="14" s="1"/>
  <c r="Q794" i="14"/>
  <c r="K794" i="14"/>
  <c r="S794" i="14" s="1"/>
  <c r="Q784" i="14"/>
  <c r="K784" i="14"/>
  <c r="S784" i="14" s="1"/>
  <c r="Q772" i="14"/>
  <c r="K772" i="14"/>
  <c r="S772" i="14" s="1"/>
  <c r="Q750" i="14"/>
  <c r="O750" i="14"/>
  <c r="S750" i="14" s="1"/>
  <c r="Q731" i="14"/>
  <c r="K731" i="14"/>
  <c r="S731" i="14" s="1"/>
  <c r="Q718" i="14"/>
  <c r="K718" i="14"/>
  <c r="S718" i="14" s="1"/>
  <c r="M698" i="14"/>
  <c r="Q698" i="14" s="1"/>
  <c r="O699" i="14"/>
  <c r="S699" i="14" s="1"/>
  <c r="Q688" i="14"/>
  <c r="K688" i="14"/>
  <c r="S688" i="14" s="1"/>
  <c r="Q684" i="14"/>
  <c r="K684" i="14"/>
  <c r="S684" i="14" s="1"/>
  <c r="Q663" i="14"/>
  <c r="K663" i="14"/>
  <c r="S663" i="14" s="1"/>
  <c r="Q644" i="14"/>
  <c r="K644" i="14"/>
  <c r="S644" i="14" s="1"/>
  <c r="Q607" i="14"/>
  <c r="K607" i="14"/>
  <c r="S607" i="14" s="1"/>
  <c r="Q543" i="14"/>
  <c r="K543" i="14"/>
  <c r="S543" i="14" s="1"/>
  <c r="I530" i="14"/>
  <c r="I527" i="14" s="1"/>
  <c r="K532" i="14"/>
  <c r="S532" i="14" s="1"/>
  <c r="I485" i="14"/>
  <c r="I482" i="14" s="1"/>
  <c r="K487" i="14"/>
  <c r="S487" i="14" s="1"/>
  <c r="Q463" i="14"/>
  <c r="K463" i="14"/>
  <c r="S463" i="14" s="1"/>
  <c r="Q459" i="14"/>
  <c r="K459" i="14"/>
  <c r="S459" i="14" s="1"/>
  <c r="Q1382" i="14"/>
  <c r="K1382" i="14"/>
  <c r="S1382" i="14" s="1"/>
  <c r="I1286" i="14"/>
  <c r="K1287" i="14"/>
  <c r="S1287" i="14" s="1"/>
  <c r="I1268" i="14"/>
  <c r="K1268" i="14" s="1"/>
  <c r="S1268" i="14" s="1"/>
  <c r="K1269" i="14"/>
  <c r="S1269" i="14" s="1"/>
  <c r="Q1440" i="14"/>
  <c r="K1440" i="14"/>
  <c r="S1440" i="14" s="1"/>
  <c r="Q1417" i="14"/>
  <c r="K1417" i="14"/>
  <c r="S1417" i="14" s="1"/>
  <c r="Q1554" i="14"/>
  <c r="O1554" i="14"/>
  <c r="S1554" i="14" s="1"/>
  <c r="Q1539" i="14"/>
  <c r="K1539" i="14"/>
  <c r="S1539" i="14" s="1"/>
  <c r="I1531" i="14"/>
  <c r="K1532" i="14"/>
  <c r="S1532" i="14" s="1"/>
  <c r="M1524" i="14"/>
  <c r="O1524" i="14" s="1"/>
  <c r="S1524" i="14" s="1"/>
  <c r="O1525" i="14"/>
  <c r="S1525" i="14" s="1"/>
  <c r="I1514" i="14"/>
  <c r="K1514" i="14" s="1"/>
  <c r="S1514" i="14" s="1"/>
  <c r="K1515" i="14"/>
  <c r="S1515" i="14" s="1"/>
  <c r="Q1494" i="14"/>
  <c r="Q1489" i="14"/>
  <c r="K1489" i="14"/>
  <c r="S1489" i="14" s="1"/>
  <c r="Q1485" i="14"/>
  <c r="K1485" i="14"/>
  <c r="S1485" i="14" s="1"/>
  <c r="Q1480" i="14"/>
  <c r="K1480" i="14"/>
  <c r="S1480" i="14" s="1"/>
  <c r="Q1715" i="14"/>
  <c r="K1715" i="14"/>
  <c r="S1715" i="14" s="1"/>
  <c r="Q1710" i="14"/>
  <c r="K1710" i="14"/>
  <c r="S1710" i="14" s="1"/>
  <c r="Q1704" i="14"/>
  <c r="K1704" i="14"/>
  <c r="S1704" i="14" s="1"/>
  <c r="Q1692" i="14"/>
  <c r="K1692" i="14"/>
  <c r="S1692" i="14" s="1"/>
  <c r="Q1669" i="14"/>
  <c r="K1669" i="14"/>
  <c r="S1669" i="14" s="1"/>
  <c r="Q1656" i="14"/>
  <c r="K1656" i="14"/>
  <c r="S1656" i="14" s="1"/>
  <c r="Q1614" i="14"/>
  <c r="K1614" i="14"/>
  <c r="S1614" i="14" s="1"/>
  <c r="Q1606" i="14"/>
  <c r="K1606" i="14"/>
  <c r="S1606" i="14" s="1"/>
  <c r="I1590" i="14"/>
  <c r="K1591" i="14"/>
  <c r="S1591" i="14" s="1"/>
  <c r="Q1586" i="14"/>
  <c r="K1586" i="14"/>
  <c r="S1586" i="14" s="1"/>
  <c r="I1573" i="14"/>
  <c r="K1573" i="14" s="1"/>
  <c r="S1573" i="14" s="1"/>
  <c r="K1576" i="14"/>
  <c r="S1576" i="14" s="1"/>
  <c r="M1570" i="14"/>
  <c r="Q1570" i="14" s="1"/>
  <c r="O1571" i="14"/>
  <c r="S1571" i="14" s="1"/>
  <c r="Q1763" i="14"/>
  <c r="K1763" i="14"/>
  <c r="S1763" i="14" s="1"/>
  <c r="J31" i="14"/>
  <c r="R33" i="14"/>
  <c r="J11" i="14"/>
  <c r="R11" i="14" s="1"/>
  <c r="R12" i="14"/>
  <c r="R19" i="14"/>
  <c r="K89" i="14"/>
  <c r="S89" i="14" s="1"/>
  <c r="J124" i="14"/>
  <c r="R124" i="14" s="1"/>
  <c r="R125" i="14"/>
  <c r="J102" i="14"/>
  <c r="R102" i="14" s="1"/>
  <c r="R103" i="14"/>
  <c r="J234" i="14"/>
  <c r="R237" i="14"/>
  <c r="K229" i="14"/>
  <c r="S229" i="14" s="1"/>
  <c r="N230" i="14"/>
  <c r="R231" i="14"/>
  <c r="J315" i="14"/>
  <c r="R316" i="14"/>
  <c r="K273" i="14"/>
  <c r="S273" i="14" s="1"/>
  <c r="K280" i="14"/>
  <c r="S280" i="14" s="1"/>
  <c r="S299" i="14"/>
  <c r="N315" i="14"/>
  <c r="R318" i="14"/>
  <c r="R319" i="14"/>
  <c r="N371" i="14"/>
  <c r="O371" i="14" s="1"/>
  <c r="S371" i="14" s="1"/>
  <c r="R372" i="14"/>
  <c r="O350" i="14"/>
  <c r="S350" i="14" s="1"/>
  <c r="O358" i="14"/>
  <c r="S358" i="14" s="1"/>
  <c r="O397" i="14"/>
  <c r="S397" i="14" s="1"/>
  <c r="J1042" i="14"/>
  <c r="R1042" i="14" s="1"/>
  <c r="R1045" i="14"/>
  <c r="J1004" i="14"/>
  <c r="R1004" i="14" s="1"/>
  <c r="R1007" i="14"/>
  <c r="J1050" i="14"/>
  <c r="R1050" i="14" s="1"/>
  <c r="R1053" i="14"/>
  <c r="J1015" i="14"/>
  <c r="R1015" i="14" s="1"/>
  <c r="R1018" i="14"/>
  <c r="J922" i="14"/>
  <c r="R922" i="14" s="1"/>
  <c r="R925" i="14"/>
  <c r="J580" i="14"/>
  <c r="R580" i="14" s="1"/>
  <c r="R583" i="14"/>
  <c r="J494" i="14"/>
  <c r="R497" i="14"/>
  <c r="J454" i="14"/>
  <c r="R455" i="14"/>
  <c r="S752" i="14"/>
  <c r="J888" i="14"/>
  <c r="R888" i="14" s="1"/>
  <c r="R782" i="14"/>
  <c r="J611" i="14"/>
  <c r="R611" i="14" s="1"/>
  <c r="R614" i="14"/>
  <c r="J571" i="14"/>
  <c r="R571" i="14" s="1"/>
  <c r="R574" i="14"/>
  <c r="J527" i="14"/>
  <c r="R527" i="14" s="1"/>
  <c r="R530" i="14"/>
  <c r="J482" i="14"/>
  <c r="R485" i="14"/>
  <c r="S690" i="14"/>
  <c r="N546" i="14"/>
  <c r="R547" i="14"/>
  <c r="R870" i="14"/>
  <c r="R663" i="14"/>
  <c r="R521" i="14"/>
  <c r="N134" i="14"/>
  <c r="R139" i="14"/>
  <c r="R129" i="14"/>
  <c r="R107" i="14"/>
  <c r="R257" i="14"/>
  <c r="R322" i="14"/>
  <c r="J1090" i="14"/>
  <c r="R1090" i="14" s="1"/>
  <c r="R1093" i="14"/>
  <c r="J1066" i="14"/>
  <c r="R1066" i="14" s="1"/>
  <c r="R1069" i="14"/>
  <c r="J1034" i="14"/>
  <c r="R1034" i="14" s="1"/>
  <c r="R1037" i="14"/>
  <c r="J993" i="14"/>
  <c r="R993" i="14" s="1"/>
  <c r="R996" i="14"/>
  <c r="J940" i="14"/>
  <c r="R940" i="14" s="1"/>
  <c r="R943" i="14"/>
  <c r="J904" i="14"/>
  <c r="R904" i="14" s="1"/>
  <c r="R907" i="14"/>
  <c r="J602" i="14"/>
  <c r="R602" i="14" s="1"/>
  <c r="R605" i="14"/>
  <c r="R562" i="14"/>
  <c r="R565" i="14"/>
  <c r="N802" i="14"/>
  <c r="R805" i="14"/>
  <c r="R540" i="14"/>
  <c r="Q1475" i="14"/>
  <c r="O1475" i="14"/>
  <c r="S1475" i="14" s="1"/>
  <c r="Q1470" i="14"/>
  <c r="K1470" i="14"/>
  <c r="S1470" i="14" s="1"/>
  <c r="Q1725" i="14"/>
  <c r="K1725" i="14"/>
  <c r="S1725" i="14" s="1"/>
  <c r="Q1711" i="14"/>
  <c r="K1711" i="14"/>
  <c r="S1711" i="14" s="1"/>
  <c r="Q1671" i="14"/>
  <c r="K1671" i="14"/>
  <c r="S1671" i="14" s="1"/>
  <c r="Q1626" i="14"/>
  <c r="K1626" i="14"/>
  <c r="S1626" i="14" s="1"/>
  <c r="Q1621" i="14"/>
  <c r="O1621" i="14"/>
  <c r="S1621" i="14" s="1"/>
  <c r="Q1611" i="14"/>
  <c r="K1611" i="14"/>
  <c r="S1611" i="14" s="1"/>
  <c r="Q1602" i="14"/>
  <c r="K1602" i="14"/>
  <c r="S1602" i="14" s="1"/>
  <c r="Q1584" i="14"/>
  <c r="K1584" i="14"/>
  <c r="S1584" i="14" s="1"/>
  <c r="Q1765" i="14"/>
  <c r="K1765" i="14"/>
  <c r="S1765" i="14" s="1"/>
  <c r="Q1760" i="14"/>
  <c r="K1760" i="14"/>
  <c r="S1760" i="14" s="1"/>
  <c r="J59" i="14"/>
  <c r="R59" i="14" s="1"/>
  <c r="R61" i="14"/>
  <c r="R26" i="14"/>
  <c r="R24" i="14"/>
  <c r="R22" i="14"/>
  <c r="R380" i="14"/>
  <c r="R349" i="14"/>
  <c r="R1228" i="14"/>
  <c r="R1229" i="14"/>
  <c r="J1082" i="14"/>
  <c r="R1082" i="14" s="1"/>
  <c r="J1023" i="14"/>
  <c r="R1023" i="14" s="1"/>
  <c r="R1026" i="14"/>
  <c r="J985" i="14"/>
  <c r="R985" i="14" s="1"/>
  <c r="R988" i="14"/>
  <c r="J630" i="14"/>
  <c r="R633" i="14"/>
  <c r="J590" i="14"/>
  <c r="R590" i="14" s="1"/>
  <c r="R593" i="14"/>
  <c r="J550" i="14"/>
  <c r="R553" i="14"/>
  <c r="J506" i="14"/>
  <c r="R506" i="14" s="1"/>
  <c r="R509" i="14"/>
  <c r="R465" i="14"/>
  <c r="R468" i="14"/>
  <c r="S686" i="14"/>
  <c r="R1506" i="14"/>
  <c r="N630" i="14"/>
  <c r="R640" i="14"/>
  <c r="N698" i="14"/>
  <c r="R699" i="14"/>
  <c r="N503" i="14"/>
  <c r="R961" i="14"/>
  <c r="R853" i="14"/>
  <c r="R831" i="14"/>
  <c r="R641" i="14"/>
  <c r="S1336" i="14"/>
  <c r="S806" i="14"/>
  <c r="N672" i="14"/>
  <c r="R675" i="14"/>
  <c r="N559" i="14"/>
  <c r="N491" i="14"/>
  <c r="R492" i="14"/>
  <c r="N1327" i="14"/>
  <c r="N1326" i="14" s="1"/>
  <c r="R1328" i="14"/>
  <c r="R1324" i="14"/>
  <c r="S1442" i="14"/>
  <c r="R1482" i="14"/>
  <c r="J1479" i="14"/>
  <c r="R1479" i="14" s="1"/>
  <c r="J1661" i="14"/>
  <c r="R1661" i="14" s="1"/>
  <c r="R1662" i="14"/>
  <c r="J1286" i="14"/>
  <c r="R1287" i="14"/>
  <c r="S1306" i="14"/>
  <c r="S1437" i="14"/>
  <c r="N1441" i="14"/>
  <c r="R1445" i="14"/>
  <c r="S1299" i="14"/>
  <c r="J1410" i="14"/>
  <c r="R1410" i="14" s="1"/>
  <c r="R1411" i="14"/>
  <c r="J1449" i="14"/>
  <c r="R1449" i="14" s="1"/>
  <c r="J1542" i="14"/>
  <c r="R1545" i="14"/>
  <c r="S1477" i="14"/>
  <c r="S1497" i="14"/>
  <c r="R1378" i="14"/>
  <c r="R1359" i="14"/>
  <c r="R1344" i="14"/>
  <c r="R1333" i="14"/>
  <c r="R1307" i="14"/>
  <c r="R1295" i="14"/>
  <c r="R1291" i="14"/>
  <c r="R1272" i="14"/>
  <c r="J1534" i="14"/>
  <c r="R1534" i="14" s="1"/>
  <c r="R1535" i="14"/>
  <c r="R1525" i="14"/>
  <c r="R1515" i="14"/>
  <c r="J1490" i="14"/>
  <c r="R1490" i="14" s="1"/>
  <c r="R1493" i="14"/>
  <c r="N1517" i="14"/>
  <c r="R1524" i="14"/>
  <c r="R1536" i="14"/>
  <c r="J1644" i="14"/>
  <c r="J1590" i="14"/>
  <c r="R1590" i="14" s="1"/>
  <c r="R1591" i="14"/>
  <c r="N1645" i="14"/>
  <c r="N1644" i="14" s="1"/>
  <c r="N1635" i="14" s="1"/>
  <c r="R1657" i="14"/>
  <c r="R1718" i="14"/>
  <c r="J1604" i="14"/>
  <c r="R1604" i="14" s="1"/>
  <c r="R1605" i="14"/>
  <c r="N1620" i="14"/>
  <c r="R1621" i="14"/>
  <c r="R1658" i="14"/>
  <c r="R1576" i="14"/>
  <c r="J1569" i="14"/>
  <c r="R1573" i="14"/>
  <c r="N1570" i="14"/>
  <c r="R1571" i="14"/>
  <c r="R1721" i="14"/>
  <c r="R1701" i="14"/>
  <c r="R1685" i="14"/>
  <c r="R1648" i="14"/>
  <c r="R1602" i="14"/>
  <c r="R1755" i="14"/>
  <c r="R1754" i="14"/>
  <c r="J1747" i="14"/>
  <c r="R1747" i="14" s="1"/>
  <c r="J1758" i="14"/>
  <c r="J1583" i="14"/>
  <c r="J1610" i="14"/>
  <c r="J1624" i="14"/>
  <c r="J1636" i="14"/>
  <c r="J1668" i="14"/>
  <c r="J1703" i="14"/>
  <c r="R1703" i="14" s="1"/>
  <c r="J1724" i="14"/>
  <c r="J1709" i="14"/>
  <c r="J1690" i="14"/>
  <c r="N1472" i="14"/>
  <c r="J1500" i="14"/>
  <c r="N1423" i="14"/>
  <c r="J1432" i="14"/>
  <c r="J1303" i="14"/>
  <c r="N749" i="14"/>
  <c r="J974" i="14"/>
  <c r="R974" i="14" s="1"/>
  <c r="J1058" i="14"/>
  <c r="R1058" i="14" s="1"/>
  <c r="J1099" i="14"/>
  <c r="R1099" i="14" s="1"/>
  <c r="J1231" i="14"/>
  <c r="R1231" i="14" s="1"/>
  <c r="J1190" i="14"/>
  <c r="R1190" i="14" s="1"/>
  <c r="J1176" i="14"/>
  <c r="R1176" i="14" s="1"/>
  <c r="J1119" i="14"/>
  <c r="J1074" i="14"/>
  <c r="J952" i="14"/>
  <c r="J882" i="14"/>
  <c r="R882" i="14" s="1"/>
  <c r="J1246" i="14"/>
  <c r="R1246" i="14" s="1"/>
  <c r="J1213" i="14"/>
  <c r="J1184" i="14"/>
  <c r="R1184" i="14" s="1"/>
  <c r="J1164" i="14"/>
  <c r="J1137" i="14"/>
  <c r="J858" i="14"/>
  <c r="R858" i="14" s="1"/>
  <c r="J758" i="14"/>
  <c r="J755" i="14" s="1"/>
  <c r="J704" i="14"/>
  <c r="J701" i="14" s="1"/>
  <c r="N384" i="14"/>
  <c r="N292" i="14"/>
  <c r="R292" i="14" s="1"/>
  <c r="J326" i="14"/>
  <c r="R326" i="14" s="1"/>
  <c r="J272" i="14"/>
  <c r="N250" i="14"/>
  <c r="J88" i="14"/>
  <c r="R88" i="14" s="1"/>
  <c r="J80" i="14"/>
  <c r="R80" i="14" s="1"/>
  <c r="N38" i="14"/>
  <c r="N51" i="14"/>
  <c r="Q84" i="14"/>
  <c r="Q114" i="14"/>
  <c r="I497" i="14"/>
  <c r="Q497" i="14" s="1"/>
  <c r="Q471" i="14"/>
  <c r="Q1662" i="14"/>
  <c r="I1126" i="14"/>
  <c r="I623" i="14"/>
  <c r="I620" i="14" s="1"/>
  <c r="Q927" i="14"/>
  <c r="Q918" i="14"/>
  <c r="I583" i="14"/>
  <c r="K583" i="14" s="1"/>
  <c r="S583" i="14" s="1"/>
  <c r="M749" i="14"/>
  <c r="Q749" i="14" s="1"/>
  <c r="M139" i="14"/>
  <c r="M134" i="14" s="1"/>
  <c r="M128" i="14" s="1"/>
  <c r="I768" i="14"/>
  <c r="M380" i="14"/>
  <c r="O380" i="14" s="1"/>
  <c r="S380" i="14" s="1"/>
  <c r="Q1230" i="14"/>
  <c r="I521" i="14"/>
  <c r="Q521" i="14" s="1"/>
  <c r="Q1525" i="14"/>
  <c r="Q1506" i="14"/>
  <c r="I1085" i="14"/>
  <c r="I1082" i="14" s="1"/>
  <c r="I1061" i="14"/>
  <c r="I977" i="14"/>
  <c r="I811" i="14"/>
  <c r="I792" i="14"/>
  <c r="M546" i="14"/>
  <c r="Q546" i="14" s="1"/>
  <c r="I1712" i="14"/>
  <c r="I1709" i="14" s="1"/>
  <c r="I1536" i="14"/>
  <c r="Q87" i="14"/>
  <c r="Q169" i="14"/>
  <c r="I1221" i="14"/>
  <c r="I1193" i="14"/>
  <c r="K1193" i="14" s="1"/>
  <c r="S1193" i="14" s="1"/>
  <c r="I1164" i="14"/>
  <c r="I1137" i="14"/>
  <c r="I1037" i="14"/>
  <c r="M852" i="14"/>
  <c r="I574" i="14"/>
  <c r="K574" i="14" s="1"/>
  <c r="S574" i="14" s="1"/>
  <c r="M559" i="14"/>
  <c r="Q559" i="14" s="1"/>
  <c r="Q487" i="14"/>
  <c r="I1411" i="14"/>
  <c r="I326" i="14"/>
  <c r="Q326" i="14" s="1"/>
  <c r="Q303" i="14"/>
  <c r="I1184" i="14"/>
  <c r="I1110" i="14"/>
  <c r="Q910" i="14"/>
  <c r="Q642" i="14"/>
  <c r="Q500" i="14"/>
  <c r="Q1450" i="14"/>
  <c r="I91" i="14"/>
  <c r="Q91" i="14" s="1"/>
  <c r="I363" i="14"/>
  <c r="K363" i="14" s="1"/>
  <c r="S363" i="14" s="1"/>
  <c r="I1244" i="14"/>
  <c r="I1176" i="14"/>
  <c r="I1077" i="14"/>
  <c r="Q1077" i="14" s="1"/>
  <c r="I1026" i="14"/>
  <c r="I1023" i="14" s="1"/>
  <c r="I689" i="14"/>
  <c r="M1290" i="14"/>
  <c r="I1724" i="14"/>
  <c r="Q1724" i="14" s="1"/>
  <c r="M1441" i="14"/>
  <c r="I1613" i="14"/>
  <c r="I1747" i="14"/>
  <c r="I182" i="14"/>
  <c r="Q118" i="14"/>
  <c r="I237" i="14"/>
  <c r="I1234" i="14"/>
  <c r="K1234" i="14" s="1"/>
  <c r="S1234" i="14" s="1"/>
  <c r="Q1225" i="14"/>
  <c r="I1156" i="14"/>
  <c r="I1145" i="14"/>
  <c r="I1069" i="14"/>
  <c r="I1018" i="14"/>
  <c r="I837" i="14"/>
  <c r="Q817" i="14"/>
  <c r="Q797" i="14"/>
  <c r="I633" i="14"/>
  <c r="I630" i="14" s="1"/>
  <c r="I1545" i="14"/>
  <c r="Q1532" i="14"/>
  <c r="I1528" i="14"/>
  <c r="I1493" i="14"/>
  <c r="I1605" i="14"/>
  <c r="I681" i="14"/>
  <c r="M174" i="14"/>
  <c r="Q141" i="14"/>
  <c r="Q125" i="14"/>
  <c r="Q121" i="14"/>
  <c r="I224" i="14"/>
  <c r="K224" i="14" s="1"/>
  <c r="S224" i="14" s="1"/>
  <c r="I1249" i="14"/>
  <c r="Q1197" i="14"/>
  <c r="Q1185" i="14"/>
  <c r="Q1166" i="14"/>
  <c r="Q1130" i="14"/>
  <c r="Q1114" i="14"/>
  <c r="I1102" i="14"/>
  <c r="Q1063" i="14"/>
  <c r="Q1039" i="14"/>
  <c r="I1007" i="14"/>
  <c r="I966" i="14"/>
  <c r="I870" i="14"/>
  <c r="I782" i="14"/>
  <c r="K782" i="14" s="1"/>
  <c r="S782" i="14" s="1"/>
  <c r="Q511" i="14"/>
  <c r="M1359" i="14"/>
  <c r="I1330" i="14"/>
  <c r="I1482" i="14"/>
  <c r="Q1716" i="14"/>
  <c r="I1668" i="14"/>
  <c r="Q1658" i="14"/>
  <c r="I1761" i="14"/>
  <c r="G290" i="13"/>
  <c r="I145" i="14"/>
  <c r="I322" i="14"/>
  <c r="Q325" i="14"/>
  <c r="M310" i="14"/>
  <c r="Q311" i="14"/>
  <c r="Q999" i="14"/>
  <c r="I996" i="14"/>
  <c r="K996" i="14" s="1"/>
  <c r="S996" i="14" s="1"/>
  <c r="Q991" i="14"/>
  <c r="I988" i="14"/>
  <c r="K988" i="14" s="1"/>
  <c r="S988" i="14" s="1"/>
  <c r="I593" i="14"/>
  <c r="K593" i="14" s="1"/>
  <c r="S593" i="14" s="1"/>
  <c r="Q595" i="14"/>
  <c r="I553" i="14"/>
  <c r="K553" i="14" s="1"/>
  <c r="S553" i="14" s="1"/>
  <c r="Q555" i="14"/>
  <c r="Q542" i="14"/>
  <c r="I540" i="14"/>
  <c r="K540" i="14" s="1"/>
  <c r="S540" i="14" s="1"/>
  <c r="I275" i="14"/>
  <c r="K275" i="14" s="1"/>
  <c r="S275" i="14" s="1"/>
  <c r="Q1120" i="14"/>
  <c r="I1119" i="14"/>
  <c r="Q1097" i="14"/>
  <c r="I1093" i="14"/>
  <c r="Q1056" i="14"/>
  <c r="I1053" i="14"/>
  <c r="I952" i="14"/>
  <c r="Q954" i="14"/>
  <c r="Q617" i="14"/>
  <c r="I614" i="14"/>
  <c r="Q184" i="14"/>
  <c r="Q240" i="14"/>
  <c r="I203" i="14"/>
  <c r="I200" i="14" s="1"/>
  <c r="I1213" i="14"/>
  <c r="Q1203" i="14"/>
  <c r="I1201" i="14"/>
  <c r="I1045" i="14"/>
  <c r="K1045" i="14" s="1"/>
  <c r="S1045" i="14" s="1"/>
  <c r="I943" i="14"/>
  <c r="K943" i="14" s="1"/>
  <c r="S943" i="14" s="1"/>
  <c r="Q945" i="14"/>
  <c r="Q899" i="14"/>
  <c r="I898" i="14"/>
  <c r="K898" i="14" s="1"/>
  <c r="S898" i="14" s="1"/>
  <c r="I821" i="14"/>
  <c r="Q827" i="14"/>
  <c r="Q763" i="14"/>
  <c r="I758" i="14"/>
  <c r="Q758" i="14" s="1"/>
  <c r="Q716" i="14"/>
  <c r="I714" i="14"/>
  <c r="Q299" i="14"/>
  <c r="M298" i="14"/>
  <c r="Q387" i="14"/>
  <c r="M385" i="14"/>
  <c r="I374" i="14"/>
  <c r="K374" i="14" s="1"/>
  <c r="Q375" i="14"/>
  <c r="Q893" i="14"/>
  <c r="I891" i="14"/>
  <c r="I888" i="14" s="1"/>
  <c r="Q378" i="14"/>
  <c r="Q372" i="14"/>
  <c r="Q369" i="14"/>
  <c r="Q350" i="14"/>
  <c r="Q1217" i="14"/>
  <c r="Q1149" i="14"/>
  <c r="Q1080" i="14"/>
  <c r="Q1072" i="14"/>
  <c r="Q1057" i="14"/>
  <c r="Q967" i="14"/>
  <c r="Q937" i="14"/>
  <c r="Q877" i="14"/>
  <c r="I845" i="14"/>
  <c r="Q806" i="14"/>
  <c r="M805" i="14"/>
  <c r="Q673" i="14"/>
  <c r="M672" i="14"/>
  <c r="I882" i="14"/>
  <c r="Q884" i="14"/>
  <c r="Q736" i="14"/>
  <c r="I729" i="14"/>
  <c r="Q710" i="14"/>
  <c r="I704" i="14"/>
  <c r="I858" i="14"/>
  <c r="Q809" i="14"/>
  <c r="I740" i="14"/>
  <c r="I455" i="14"/>
  <c r="I605" i="14"/>
  <c r="I565" i="14"/>
  <c r="Q532" i="14"/>
  <c r="Q456" i="14"/>
  <c r="Q1549" i="14"/>
  <c r="Q1498" i="14"/>
  <c r="I1701" i="14"/>
  <c r="I1624" i="14"/>
  <c r="M1620" i="14"/>
  <c r="I1583" i="14"/>
  <c r="Q752" i="14"/>
  <c r="I650" i="14"/>
  <c r="I1378" i="14"/>
  <c r="M1472" i="14"/>
  <c r="Q1755" i="14"/>
  <c r="Q1439" i="14"/>
  <c r="Q1397" i="14"/>
  <c r="Q1726" i="14"/>
  <c r="Q1696" i="14"/>
  <c r="I1636" i="14"/>
  <c r="Q1762" i="14"/>
  <c r="Q1748" i="14"/>
  <c r="I1645" i="14"/>
  <c r="K1645" i="14" s="1"/>
  <c r="M1680" i="14"/>
  <c r="Q1683" i="14"/>
  <c r="I1703" i="14"/>
  <c r="Q1721" i="14"/>
  <c r="Q1648" i="14"/>
  <c r="Q1637" i="14"/>
  <c r="Q1627" i="14"/>
  <c r="Q1591" i="14"/>
  <c r="Q1595" i="14"/>
  <c r="Q1576" i="14"/>
  <c r="Q1571" i="14"/>
  <c r="I1501" i="14"/>
  <c r="K1501" i="14" s="1"/>
  <c r="M1553" i="14"/>
  <c r="Q1518" i="14"/>
  <c r="Q1473" i="14"/>
  <c r="Q1515" i="14"/>
  <c r="Q1452" i="14"/>
  <c r="Q1442" i="14"/>
  <c r="Q1424" i="14"/>
  <c r="I1415" i="14"/>
  <c r="K1415" i="14" s="1"/>
  <c r="Q1347" i="14"/>
  <c r="Q1316" i="14"/>
  <c r="Q1344" i="14"/>
  <c r="Q1333" i="14"/>
  <c r="Q1295" i="14"/>
  <c r="Q1287" i="14"/>
  <c r="Q1328" i="14"/>
  <c r="Q1324" i="14"/>
  <c r="Q1310" i="14"/>
  <c r="Q1272" i="14"/>
  <c r="Q1269" i="14"/>
  <c r="Q1239" i="14"/>
  <c r="Q1152" i="14"/>
  <c r="M960" i="14"/>
  <c r="O960" i="14" s="1"/>
  <c r="S960" i="14" s="1"/>
  <c r="Q961" i="14"/>
  <c r="M808" i="14"/>
  <c r="Q830" i="14"/>
  <c r="Q699" i="14"/>
  <c r="M491" i="14"/>
  <c r="Q492" i="14"/>
  <c r="Q504" i="14"/>
  <c r="Q357" i="14"/>
  <c r="M360" i="14"/>
  <c r="Q371" i="14"/>
  <c r="Q358" i="14"/>
  <c r="Q355" i="14"/>
  <c r="Q345" i="14"/>
  <c r="M344" i="14"/>
  <c r="M315" i="14"/>
  <c r="Q318" i="14"/>
  <c r="M272" i="14"/>
  <c r="Q284" i="14"/>
  <c r="Q319" i="14"/>
  <c r="Q316" i="14"/>
  <c r="Q293" i="14"/>
  <c r="Q289" i="14"/>
  <c r="Q258" i="14"/>
  <c r="Q245" i="14"/>
  <c r="Q251" i="14"/>
  <c r="Q231" i="14"/>
  <c r="Q214" i="14"/>
  <c r="Q197" i="14"/>
  <c r="I166" i="14"/>
  <c r="K166" i="14" s="1"/>
  <c r="I128" i="14"/>
  <c r="K128" i="14" s="1"/>
  <c r="Q162" i="14"/>
  <c r="Q110" i="14"/>
  <c r="Q107" i="14"/>
  <c r="Q103" i="14"/>
  <c r="F352" i="13"/>
  <c r="F22" i="13"/>
  <c r="F44" i="13"/>
  <c r="F151" i="13"/>
  <c r="F189" i="13"/>
  <c r="F198" i="13"/>
  <c r="F206" i="13"/>
  <c r="F248" i="13"/>
  <c r="F86" i="13"/>
  <c r="G230" i="13"/>
  <c r="F256" i="13"/>
  <c r="F240" i="13"/>
  <c r="F8" i="13"/>
  <c r="F7" i="13" s="1"/>
  <c r="M55" i="14"/>
  <c r="O55" i="14" s="1"/>
  <c r="S55" i="14" s="1"/>
  <c r="K17" i="14"/>
  <c r="S17" i="14" s="1"/>
  <c r="B138" i="14" l="1"/>
  <c r="B139" i="14" s="1"/>
  <c r="B140" i="14" s="1"/>
  <c r="J476" i="14"/>
  <c r="R454" i="14"/>
  <c r="J453" i="14"/>
  <c r="Q1229" i="14"/>
  <c r="I1228" i="14"/>
  <c r="B352" i="14"/>
  <c r="B353" i="14" s="1"/>
  <c r="B354" i="14" s="1"/>
  <c r="B355" i="14" s="1"/>
  <c r="B356" i="14" s="1"/>
  <c r="B357" i="14" s="1"/>
  <c r="B358" i="14" s="1"/>
  <c r="B359" i="14" s="1"/>
  <c r="B360" i="14" s="1"/>
  <c r="B361" i="14" s="1"/>
  <c r="B362" i="14" s="1"/>
  <c r="B363" i="14" s="1"/>
  <c r="B364" i="14" s="1"/>
  <c r="B365" i="14" s="1"/>
  <c r="B366" i="14" s="1"/>
  <c r="B367" i="14" s="1"/>
  <c r="B368" i="14" s="1"/>
  <c r="B369" i="14" s="1"/>
  <c r="B370" i="14" s="1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1522" i="14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719" i="14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M384" i="14"/>
  <c r="O384" i="14" s="1"/>
  <c r="S384" i="14" s="1"/>
  <c r="B511" i="14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311" i="14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1441" i="14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K161" i="14"/>
  <c r="S161" i="14" s="1"/>
  <c r="R1286" i="14"/>
  <c r="J1285" i="14"/>
  <c r="F21" i="13"/>
  <c r="F306" i="13" s="1"/>
  <c r="K964" i="14"/>
  <c r="S964" i="14" s="1"/>
  <c r="R964" i="14"/>
  <c r="R1300" i="14"/>
  <c r="N1294" i="14"/>
  <c r="O1300" i="14"/>
  <c r="S1300" i="14" s="1"/>
  <c r="J879" i="14"/>
  <c r="R879" i="14" s="1"/>
  <c r="B1298" i="14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R310" i="14"/>
  <c r="Q503" i="14"/>
  <c r="Q641" i="14"/>
  <c r="N1542" i="14"/>
  <c r="N1541" i="14" s="1"/>
  <c r="I256" i="14"/>
  <c r="K256" i="14" s="1"/>
  <c r="S256" i="14" s="1"/>
  <c r="Q1327" i="14"/>
  <c r="I571" i="14"/>
  <c r="Q571" i="14" s="1"/>
  <c r="K1747" i="14"/>
  <c r="Q257" i="14"/>
  <c r="Q230" i="14"/>
  <c r="Q1573" i="14"/>
  <c r="R808" i="14"/>
  <c r="O808" i="14"/>
  <c r="I1569" i="14"/>
  <c r="K1569" i="14" s="1"/>
  <c r="M640" i="14"/>
  <c r="O640" i="14" s="1"/>
  <c r="S640" i="14" s="1"/>
  <c r="J1517" i="14"/>
  <c r="R1517" i="14" s="1"/>
  <c r="Q1268" i="14"/>
  <c r="K650" i="14"/>
  <c r="O672" i="14"/>
  <c r="S672" i="14" s="1"/>
  <c r="O1553" i="14"/>
  <c r="S1553" i="14" s="1"/>
  <c r="M1569" i="14"/>
  <c r="M1568" i="14" s="1"/>
  <c r="K116" i="14"/>
  <c r="Q934" i="14"/>
  <c r="R776" i="14"/>
  <c r="I913" i="14"/>
  <c r="K913" i="14" s="1"/>
  <c r="S913" i="14" s="1"/>
  <c r="O491" i="14"/>
  <c r="S491" i="14" s="1"/>
  <c r="K630" i="14"/>
  <c r="K244" i="14"/>
  <c r="K326" i="14"/>
  <c r="S326" i="14" s="1"/>
  <c r="J10" i="14"/>
  <c r="R10" i="14" s="1"/>
  <c r="Q1449" i="14"/>
  <c r="K1432" i="14"/>
  <c r="K704" i="14"/>
  <c r="S704" i="14" s="1"/>
  <c r="K952" i="14"/>
  <c r="S952" i="14" s="1"/>
  <c r="O272" i="14"/>
  <c r="I1151" i="14"/>
  <c r="Q1151" i="14" s="1"/>
  <c r="Q574" i="14"/>
  <c r="Q907" i="14"/>
  <c r="R284" i="14"/>
  <c r="K344" i="14"/>
  <c r="M244" i="14"/>
  <c r="Q244" i="14" s="1"/>
  <c r="M1303" i="14"/>
  <c r="O1303" i="14" s="1"/>
  <c r="M1747" i="14"/>
  <c r="O1747" i="14" s="1"/>
  <c r="I360" i="14"/>
  <c r="K360" i="14" s="1"/>
  <c r="K80" i="14"/>
  <c r="S80" i="14" s="1"/>
  <c r="Q1693" i="14"/>
  <c r="I1099" i="14"/>
  <c r="Q1099" i="14" s="1"/>
  <c r="I580" i="14"/>
  <c r="K580" i="14" s="1"/>
  <c r="S580" i="14" s="1"/>
  <c r="K482" i="14"/>
  <c r="O1680" i="14"/>
  <c r="S1680" i="14" s="1"/>
  <c r="K1119" i="14"/>
  <c r="S1119" i="14" s="1"/>
  <c r="O310" i="14"/>
  <c r="S310" i="14" s="1"/>
  <c r="R1644" i="14"/>
  <c r="Q363" i="14"/>
  <c r="Q1307" i="14"/>
  <c r="I904" i="14"/>
  <c r="Q904" i="14" s="1"/>
  <c r="J1478" i="14"/>
  <c r="J1469" i="14" s="1"/>
  <c r="J1594" i="14"/>
  <c r="R1594" i="14" s="1"/>
  <c r="Q1505" i="14"/>
  <c r="I1690" i="14"/>
  <c r="O698" i="14"/>
  <c r="S698" i="14" s="1"/>
  <c r="Q1514" i="14"/>
  <c r="Q1754" i="14"/>
  <c r="I1303" i="14"/>
  <c r="K1303" i="14" s="1"/>
  <c r="O284" i="14"/>
  <c r="S284" i="14" s="1"/>
  <c r="Q315" i="14"/>
  <c r="O315" i="14"/>
  <c r="Q1703" i="14"/>
  <c r="K1703" i="14"/>
  <c r="S1703" i="14" s="1"/>
  <c r="M1469" i="14"/>
  <c r="O1472" i="14"/>
  <c r="S1472" i="14" s="1"/>
  <c r="Q858" i="14"/>
  <c r="K858" i="14"/>
  <c r="S858" i="14" s="1"/>
  <c r="M1500" i="14"/>
  <c r="Q882" i="14"/>
  <c r="K882" i="14"/>
  <c r="S882" i="14" s="1"/>
  <c r="Q845" i="14"/>
  <c r="K845" i="14"/>
  <c r="S845" i="14" s="1"/>
  <c r="Q1213" i="14"/>
  <c r="K1213" i="14"/>
  <c r="S1213" i="14" s="1"/>
  <c r="Q966" i="14"/>
  <c r="K966" i="14"/>
  <c r="S966" i="14" s="1"/>
  <c r="Q1528" i="14"/>
  <c r="K1528" i="14"/>
  <c r="S1528" i="14" s="1"/>
  <c r="Q1069" i="14"/>
  <c r="K1069" i="14"/>
  <c r="S1069" i="14" s="1"/>
  <c r="Q1126" i="14"/>
  <c r="K1126" i="14"/>
  <c r="S1126" i="14" s="1"/>
  <c r="N1415" i="14"/>
  <c r="R1423" i="14"/>
  <c r="J1723" i="14"/>
  <c r="R1723" i="14" s="1"/>
  <c r="R1724" i="14"/>
  <c r="J1623" i="14"/>
  <c r="R1623" i="14" s="1"/>
  <c r="R1624" i="14"/>
  <c r="N1610" i="14"/>
  <c r="N1608" i="14" s="1"/>
  <c r="R1620" i="14"/>
  <c r="N550" i="14"/>
  <c r="R550" i="14" s="1"/>
  <c r="R559" i="14"/>
  <c r="J233" i="14"/>
  <c r="R234" i="14"/>
  <c r="K1229" i="14"/>
  <c r="S1229" i="14" s="1"/>
  <c r="Q1428" i="14"/>
  <c r="O1428" i="14"/>
  <c r="S1428" i="14" s="1"/>
  <c r="I291" i="14"/>
  <c r="K291" i="14" s="1"/>
  <c r="Q468" i="14"/>
  <c r="Q1023" i="14"/>
  <c r="K1023" i="14"/>
  <c r="S1023" i="14" s="1"/>
  <c r="I1582" i="14"/>
  <c r="K1583" i="14"/>
  <c r="S1583" i="14" s="1"/>
  <c r="I602" i="14"/>
  <c r="K605" i="14"/>
  <c r="S605" i="14" s="1"/>
  <c r="I454" i="14"/>
  <c r="K454" i="14" s="1"/>
  <c r="S454" i="14" s="1"/>
  <c r="K455" i="14"/>
  <c r="S455" i="14" s="1"/>
  <c r="Q1524" i="14"/>
  <c r="Q729" i="14"/>
  <c r="K729" i="14"/>
  <c r="S729" i="14" s="1"/>
  <c r="Q1082" i="14"/>
  <c r="K1082" i="14"/>
  <c r="S1082" i="14" s="1"/>
  <c r="Q714" i="14"/>
  <c r="K714" i="14"/>
  <c r="S714" i="14" s="1"/>
  <c r="Q420" i="14"/>
  <c r="O420" i="14"/>
  <c r="S420" i="14" s="1"/>
  <c r="I931" i="14"/>
  <c r="I1758" i="14"/>
  <c r="I1746" i="14" s="1"/>
  <c r="K1761" i="14"/>
  <c r="S1761" i="14" s="1"/>
  <c r="Q1482" i="14"/>
  <c r="K1482" i="14"/>
  <c r="S1482" i="14" s="1"/>
  <c r="Q527" i="14"/>
  <c r="K527" i="14"/>
  <c r="S527" i="14" s="1"/>
  <c r="I1004" i="14"/>
  <c r="K1007" i="14"/>
  <c r="S1007" i="14" s="1"/>
  <c r="Q681" i="14"/>
  <c r="K681" i="14"/>
  <c r="S681" i="14" s="1"/>
  <c r="Q1145" i="14"/>
  <c r="K1145" i="14"/>
  <c r="S1145" i="14" s="1"/>
  <c r="I234" i="14"/>
  <c r="K234" i="14" s="1"/>
  <c r="S234" i="14" s="1"/>
  <c r="K237" i="14"/>
  <c r="S237" i="14" s="1"/>
  <c r="Q1613" i="14"/>
  <c r="K1613" i="14"/>
  <c r="S1613" i="14" s="1"/>
  <c r="Q689" i="14"/>
  <c r="K689" i="14"/>
  <c r="S689" i="14" s="1"/>
  <c r="I1243" i="14"/>
  <c r="K1244" i="14"/>
  <c r="S1244" i="14" s="1"/>
  <c r="Q583" i="14"/>
  <c r="Q1184" i="14"/>
  <c r="K1184" i="14"/>
  <c r="S1184" i="14" s="1"/>
  <c r="I1034" i="14"/>
  <c r="K1037" i="14"/>
  <c r="S1037" i="14" s="1"/>
  <c r="Q1221" i="14"/>
  <c r="K1221" i="14"/>
  <c r="S1221" i="14" s="1"/>
  <c r="Q1712" i="14"/>
  <c r="K1712" i="14"/>
  <c r="S1712" i="14" s="1"/>
  <c r="I974" i="14"/>
  <c r="K977" i="14"/>
  <c r="S977" i="14" s="1"/>
  <c r="Q768" i="14"/>
  <c r="K768" i="14"/>
  <c r="S768" i="14" s="1"/>
  <c r="N383" i="14"/>
  <c r="R383" i="14" s="1"/>
  <c r="R384" i="14"/>
  <c r="J1116" i="14"/>
  <c r="R1116" i="14" s="1"/>
  <c r="R1119" i="14"/>
  <c r="R1303" i="14"/>
  <c r="J1609" i="14"/>
  <c r="R1609" i="14" s="1"/>
  <c r="O1326" i="14"/>
  <c r="R1327" i="14"/>
  <c r="N494" i="14"/>
  <c r="R494" i="14" s="1"/>
  <c r="R503" i="14"/>
  <c r="R630" i="14"/>
  <c r="N221" i="14"/>
  <c r="R230" i="14"/>
  <c r="Q1590" i="14"/>
  <c r="K1590" i="14"/>
  <c r="S1590" i="14" s="1"/>
  <c r="O503" i="14"/>
  <c r="S503" i="14" s="1"/>
  <c r="K124" i="14"/>
  <c r="S124" i="14" s="1"/>
  <c r="O250" i="14"/>
  <c r="S250" i="14" s="1"/>
  <c r="I562" i="14"/>
  <c r="K565" i="14"/>
  <c r="S565" i="14" s="1"/>
  <c r="Q298" i="14"/>
  <c r="O298" i="14"/>
  <c r="S298" i="14" s="1"/>
  <c r="Q1053" i="14"/>
  <c r="K1053" i="14"/>
  <c r="S1053" i="14" s="1"/>
  <c r="Q1176" i="14"/>
  <c r="K1176" i="14"/>
  <c r="S1176" i="14" s="1"/>
  <c r="Q1110" i="14"/>
  <c r="K1110" i="14"/>
  <c r="S1110" i="14" s="1"/>
  <c r="Q852" i="14"/>
  <c r="O852" i="14"/>
  <c r="S852" i="14" s="1"/>
  <c r="Q811" i="14"/>
  <c r="K811" i="14"/>
  <c r="S811" i="14" s="1"/>
  <c r="J271" i="14"/>
  <c r="R272" i="14"/>
  <c r="R755" i="14"/>
  <c r="R758" i="14"/>
  <c r="J973" i="14"/>
  <c r="R973" i="14" s="1"/>
  <c r="R1074" i="14"/>
  <c r="N726" i="14"/>
  <c r="R749" i="14"/>
  <c r="N1501" i="14"/>
  <c r="O1501" i="14" s="1"/>
  <c r="S1501" i="14" s="1"/>
  <c r="R1505" i="14"/>
  <c r="Q194" i="14"/>
  <c r="K194" i="14"/>
  <c r="S194" i="14" s="1"/>
  <c r="Q102" i="14"/>
  <c r="K102" i="14"/>
  <c r="S102" i="14" s="1"/>
  <c r="Q1294" i="14"/>
  <c r="K1294" i="14"/>
  <c r="F359" i="13"/>
  <c r="I4" i="15"/>
  <c r="M354" i="14"/>
  <c r="M678" i="14"/>
  <c r="Q996" i="14"/>
  <c r="M1423" i="14"/>
  <c r="Q344" i="14"/>
  <c r="O344" i="14"/>
  <c r="I465" i="14"/>
  <c r="Q888" i="14"/>
  <c r="K888" i="14"/>
  <c r="S888" i="14" s="1"/>
  <c r="I993" i="14"/>
  <c r="Q1343" i="14"/>
  <c r="Q1636" i="14"/>
  <c r="K1636" i="14"/>
  <c r="S1636" i="14" s="1"/>
  <c r="I1375" i="14"/>
  <c r="I1346" i="14" s="1"/>
  <c r="K1378" i="14"/>
  <c r="S1378" i="14" s="1"/>
  <c r="M1610" i="14"/>
  <c r="O1620" i="14"/>
  <c r="S1620" i="14" s="1"/>
  <c r="Q1761" i="14"/>
  <c r="Q740" i="14"/>
  <c r="K740" i="14"/>
  <c r="S740" i="14" s="1"/>
  <c r="M292" i="14"/>
  <c r="M1517" i="14"/>
  <c r="O1517" i="14" s="1"/>
  <c r="I1708" i="14"/>
  <c r="K1709" i="14"/>
  <c r="Q805" i="14"/>
  <c r="O805" i="14"/>
  <c r="S805" i="14" s="1"/>
  <c r="Q891" i="14"/>
  <c r="K891" i="14"/>
  <c r="S891" i="14" s="1"/>
  <c r="Q385" i="14"/>
  <c r="O385" i="14"/>
  <c r="S385" i="14" s="1"/>
  <c r="Q776" i="14"/>
  <c r="Q1201" i="14"/>
  <c r="K1201" i="14"/>
  <c r="S1201" i="14" s="1"/>
  <c r="I611" i="14"/>
  <c r="K614" i="14"/>
  <c r="S614" i="14" s="1"/>
  <c r="I321" i="14"/>
  <c r="K322" i="14"/>
  <c r="S322" i="14" s="1"/>
  <c r="Q1330" i="14"/>
  <c r="K1330" i="14"/>
  <c r="S1330" i="14" s="1"/>
  <c r="I1246" i="14"/>
  <c r="K1249" i="14"/>
  <c r="S1249" i="14" s="1"/>
  <c r="Q1605" i="14"/>
  <c r="K1605" i="14"/>
  <c r="S1605" i="14" s="1"/>
  <c r="Q1545" i="14"/>
  <c r="K1545" i="14"/>
  <c r="S1545" i="14" s="1"/>
  <c r="Q837" i="14"/>
  <c r="K837" i="14"/>
  <c r="S837" i="14" s="1"/>
  <c r="Q1156" i="14"/>
  <c r="K1156" i="14"/>
  <c r="S1156" i="14" s="1"/>
  <c r="M1432" i="14"/>
  <c r="Q1432" i="14" s="1"/>
  <c r="O1441" i="14"/>
  <c r="S1441" i="14" s="1"/>
  <c r="Q1026" i="14"/>
  <c r="K1026" i="14"/>
  <c r="S1026" i="14" s="1"/>
  <c r="Q134" i="14"/>
  <c r="O134" i="14"/>
  <c r="S134" i="14" s="1"/>
  <c r="M550" i="14"/>
  <c r="O559" i="14"/>
  <c r="S559" i="14" s="1"/>
  <c r="Q1137" i="14"/>
  <c r="K1137" i="14"/>
  <c r="S1137" i="14" s="1"/>
  <c r="M537" i="14"/>
  <c r="O546" i="14"/>
  <c r="S546" i="14" s="1"/>
  <c r="Q1061" i="14"/>
  <c r="K1061" i="14"/>
  <c r="S1061" i="14" s="1"/>
  <c r="I518" i="14"/>
  <c r="K521" i="14"/>
  <c r="S521" i="14" s="1"/>
  <c r="Q139" i="14"/>
  <c r="O139" i="14"/>
  <c r="S139" i="14" s="1"/>
  <c r="N291" i="14"/>
  <c r="N271" i="14" s="1"/>
  <c r="I10" i="15" s="1"/>
  <c r="J1208" i="14"/>
  <c r="R1208" i="14" s="1"/>
  <c r="R1213" i="14"/>
  <c r="J1689" i="14"/>
  <c r="R1689" i="14" s="1"/>
  <c r="R1690" i="14"/>
  <c r="J1667" i="14"/>
  <c r="J1582" i="14"/>
  <c r="R1583" i="14"/>
  <c r="N1569" i="14"/>
  <c r="N1568" i="14" s="1"/>
  <c r="R1570" i="14"/>
  <c r="J1541" i="14"/>
  <c r="N1432" i="14"/>
  <c r="R1432" i="14" s="1"/>
  <c r="R1441" i="14"/>
  <c r="N650" i="14"/>
  <c r="R672" i="14"/>
  <c r="N779" i="14"/>
  <c r="R779" i="14" s="1"/>
  <c r="R802" i="14"/>
  <c r="N128" i="14"/>
  <c r="R128" i="14" s="1"/>
  <c r="R134" i="14"/>
  <c r="N537" i="14"/>
  <c r="R537" i="14" s="1"/>
  <c r="R546" i="14"/>
  <c r="Q1531" i="14"/>
  <c r="K1531" i="14"/>
  <c r="S1531" i="14" s="1"/>
  <c r="K1286" i="14"/>
  <c r="Q530" i="14"/>
  <c r="K530" i="14"/>
  <c r="S530" i="14" s="1"/>
  <c r="I922" i="14"/>
  <c r="K925" i="14"/>
  <c r="S925" i="14" s="1"/>
  <c r="Q113" i="14"/>
  <c r="O113" i="14"/>
  <c r="S113" i="14" s="1"/>
  <c r="K1449" i="14"/>
  <c r="S1449" i="14" s="1"/>
  <c r="M1645" i="14"/>
  <c r="Q1645" i="14" s="1"/>
  <c r="O1657" i="14"/>
  <c r="S1657" i="14" s="1"/>
  <c r="O1505" i="14"/>
  <c r="S1505" i="14" s="1"/>
  <c r="Q211" i="14"/>
  <c r="K211" i="14"/>
  <c r="S211" i="14" s="1"/>
  <c r="Q86" i="14"/>
  <c r="K86" i="14"/>
  <c r="S86" i="14" s="1"/>
  <c r="N166" i="14"/>
  <c r="R166" i="14" s="1"/>
  <c r="R174" i="14"/>
  <c r="Q1396" i="14"/>
  <c r="K1396" i="14"/>
  <c r="S1396" i="14" s="1"/>
  <c r="Q1271" i="14"/>
  <c r="K1271" i="14"/>
  <c r="S1271" i="14" s="1"/>
  <c r="Q1238" i="14"/>
  <c r="K1238" i="14"/>
  <c r="S1238" i="14" s="1"/>
  <c r="K315" i="14"/>
  <c r="O230" i="14"/>
  <c r="S230" i="14" s="1"/>
  <c r="K1661" i="14"/>
  <c r="S1661" i="14" s="1"/>
  <c r="O1327" i="14"/>
  <c r="S1327" i="14" s="1"/>
  <c r="I1700" i="14"/>
  <c r="K1701" i="14"/>
  <c r="S1701" i="14" s="1"/>
  <c r="Q821" i="14"/>
  <c r="K821" i="14"/>
  <c r="S821" i="14" s="1"/>
  <c r="Q1102" i="14"/>
  <c r="K1102" i="14"/>
  <c r="S1102" i="14" s="1"/>
  <c r="M166" i="14"/>
  <c r="O174" i="14"/>
  <c r="S174" i="14" s="1"/>
  <c r="Q1290" i="14"/>
  <c r="O1290" i="14"/>
  <c r="S1290" i="14" s="1"/>
  <c r="Q1411" i="14"/>
  <c r="K1411" i="14"/>
  <c r="S1411" i="14" s="1"/>
  <c r="I1535" i="14"/>
  <c r="K1536" i="14"/>
  <c r="S1536" i="14" s="1"/>
  <c r="N31" i="14"/>
  <c r="R31" i="14" s="1"/>
  <c r="R38" i="14"/>
  <c r="J353" i="14"/>
  <c r="J1151" i="14"/>
  <c r="R1151" i="14" s="1"/>
  <c r="R1164" i="14"/>
  <c r="N1469" i="14"/>
  <c r="R1472" i="14"/>
  <c r="J1746" i="14"/>
  <c r="R1758" i="14"/>
  <c r="Q485" i="14"/>
  <c r="K485" i="14"/>
  <c r="S485" i="14" s="1"/>
  <c r="M116" i="14"/>
  <c r="Q116" i="14" s="1"/>
  <c r="O120" i="14"/>
  <c r="S120" i="14" s="1"/>
  <c r="Q1435" i="14"/>
  <c r="K1435" i="14"/>
  <c r="S1435" i="14" s="1"/>
  <c r="Q1323" i="14"/>
  <c r="K1323" i="14"/>
  <c r="S1323" i="14" s="1"/>
  <c r="Q1313" i="14"/>
  <c r="K1313" i="14"/>
  <c r="S1313" i="14" s="1"/>
  <c r="I506" i="14"/>
  <c r="K509" i="14"/>
  <c r="S509" i="14" s="1"/>
  <c r="Q109" i="14"/>
  <c r="O109" i="14"/>
  <c r="S109" i="14" s="1"/>
  <c r="Q200" i="14"/>
  <c r="K200" i="14"/>
  <c r="S200" i="14" s="1"/>
  <c r="M220" i="14"/>
  <c r="Q916" i="14"/>
  <c r="Q1193" i="14"/>
  <c r="I1342" i="14"/>
  <c r="I1623" i="14"/>
  <c r="K1624" i="14"/>
  <c r="S1624" i="14" s="1"/>
  <c r="Q620" i="14"/>
  <c r="K620" i="14"/>
  <c r="S620" i="14" s="1"/>
  <c r="I755" i="14"/>
  <c r="K758" i="14"/>
  <c r="S758" i="14" s="1"/>
  <c r="Q203" i="14"/>
  <c r="K203" i="14"/>
  <c r="S203" i="14" s="1"/>
  <c r="I1090" i="14"/>
  <c r="K1093" i="14"/>
  <c r="S1093" i="14" s="1"/>
  <c r="I1173" i="14"/>
  <c r="Q145" i="14"/>
  <c r="K145" i="14"/>
  <c r="S145" i="14" s="1"/>
  <c r="I1667" i="14"/>
  <c r="K1668" i="14"/>
  <c r="Q1359" i="14"/>
  <c r="O1359" i="14"/>
  <c r="S1359" i="14" s="1"/>
  <c r="Q870" i="14"/>
  <c r="K870" i="14"/>
  <c r="S870" i="14" s="1"/>
  <c r="I1490" i="14"/>
  <c r="K1493" i="14"/>
  <c r="S1493" i="14" s="1"/>
  <c r="Q633" i="14"/>
  <c r="K633" i="14"/>
  <c r="S633" i="14" s="1"/>
  <c r="I1015" i="14"/>
  <c r="K1018" i="14"/>
  <c r="S1018" i="14" s="1"/>
  <c r="I181" i="14"/>
  <c r="K182" i="14"/>
  <c r="S182" i="14" s="1"/>
  <c r="I1723" i="14"/>
  <c r="K1724" i="14"/>
  <c r="S1724" i="14" s="1"/>
  <c r="I1074" i="14"/>
  <c r="K1077" i="14"/>
  <c r="S1077" i="14" s="1"/>
  <c r="I88" i="14"/>
  <c r="I79" i="14" s="1"/>
  <c r="K91" i="14"/>
  <c r="S91" i="14" s="1"/>
  <c r="Q1164" i="14"/>
  <c r="K1164" i="14"/>
  <c r="S1164" i="14" s="1"/>
  <c r="Q792" i="14"/>
  <c r="K792" i="14"/>
  <c r="S792" i="14" s="1"/>
  <c r="Q1085" i="14"/>
  <c r="K1085" i="14"/>
  <c r="S1085" i="14" s="1"/>
  <c r="M726" i="14"/>
  <c r="O749" i="14"/>
  <c r="S749" i="14" s="1"/>
  <c r="Q623" i="14"/>
  <c r="K623" i="14"/>
  <c r="S623" i="14" s="1"/>
  <c r="I494" i="14"/>
  <c r="K494" i="14" s="1"/>
  <c r="K497" i="14"/>
  <c r="S497" i="14" s="1"/>
  <c r="N45" i="14"/>
  <c r="R51" i="14"/>
  <c r="J101" i="14"/>
  <c r="N244" i="14"/>
  <c r="R250" i="14"/>
  <c r="R701" i="14"/>
  <c r="R704" i="14"/>
  <c r="J1134" i="14"/>
  <c r="R1137" i="14"/>
  <c r="J949" i="14"/>
  <c r="R949" i="14" s="1"/>
  <c r="R952" i="14"/>
  <c r="J1395" i="14"/>
  <c r="J1708" i="14"/>
  <c r="R1708" i="14" s="1"/>
  <c r="R1709" i="14"/>
  <c r="J1635" i="14"/>
  <c r="R1635" i="14" s="1"/>
  <c r="R1636" i="14"/>
  <c r="N1668" i="14"/>
  <c r="N1667" i="14" s="1"/>
  <c r="R1680" i="14"/>
  <c r="R1645" i="14"/>
  <c r="N482" i="14"/>
  <c r="R491" i="14"/>
  <c r="N678" i="14"/>
  <c r="R678" i="14" s="1"/>
  <c r="R698" i="14"/>
  <c r="N360" i="14"/>
  <c r="O360" i="14" s="1"/>
  <c r="R371" i="14"/>
  <c r="R315" i="14"/>
  <c r="O1570" i="14"/>
  <c r="S1570" i="14" s="1"/>
  <c r="Q106" i="14"/>
  <c r="K106" i="14"/>
  <c r="S106" i="14" s="1"/>
  <c r="Q117" i="14"/>
  <c r="K117" i="14"/>
  <c r="S117" i="14" s="1"/>
  <c r="N116" i="14"/>
  <c r="N105" i="14" s="1"/>
  <c r="R120" i="14"/>
  <c r="J1227" i="14"/>
  <c r="R1227" i="14" s="1"/>
  <c r="J1173" i="14"/>
  <c r="J79" i="14"/>
  <c r="Q1583" i="14"/>
  <c r="I779" i="14"/>
  <c r="K779" i="14" s="1"/>
  <c r="M374" i="14"/>
  <c r="Q374" i="14" s="1"/>
  <c r="Q380" i="14"/>
  <c r="Q182" i="14"/>
  <c r="Q1378" i="14"/>
  <c r="Q1493" i="14"/>
  <c r="Q1536" i="14"/>
  <c r="Q1701" i="14"/>
  <c r="M834" i="14"/>
  <c r="O834" i="14" s="1"/>
  <c r="Q1018" i="14"/>
  <c r="Q237" i="14"/>
  <c r="I1058" i="14"/>
  <c r="Q605" i="14"/>
  <c r="I1410" i="14"/>
  <c r="Q614" i="14"/>
  <c r="I678" i="14"/>
  <c r="I834" i="14"/>
  <c r="K834" i="14" s="1"/>
  <c r="I879" i="14"/>
  <c r="Q1037" i="14"/>
  <c r="Q1249" i="14"/>
  <c r="I1326" i="14"/>
  <c r="Q1441" i="14"/>
  <c r="Q1501" i="14"/>
  <c r="I808" i="14"/>
  <c r="I1208" i="14"/>
  <c r="Q782" i="14"/>
  <c r="I1134" i="14"/>
  <c r="Q1620" i="14"/>
  <c r="M802" i="14"/>
  <c r="I867" i="14"/>
  <c r="Q1244" i="14"/>
  <c r="I1542" i="14"/>
  <c r="K1542" i="14" s="1"/>
  <c r="I1610" i="14"/>
  <c r="M1346" i="14"/>
  <c r="O1346" i="14" s="1"/>
  <c r="I1604" i="14"/>
  <c r="Q977" i="14"/>
  <c r="I1231" i="14"/>
  <c r="K1231" i="14" s="1"/>
  <c r="S1231" i="14" s="1"/>
  <c r="Q1234" i="14"/>
  <c r="M1286" i="14"/>
  <c r="Q1472" i="14"/>
  <c r="Q1624" i="14"/>
  <c r="I1479" i="14"/>
  <c r="Q1479" i="14" s="1"/>
  <c r="Q174" i="14"/>
  <c r="I1066" i="14"/>
  <c r="I1517" i="14"/>
  <c r="I726" i="14"/>
  <c r="Q1007" i="14"/>
  <c r="I1190" i="14"/>
  <c r="I221" i="14"/>
  <c r="Q221" i="14" s="1"/>
  <c r="Q224" i="14"/>
  <c r="I1050" i="14"/>
  <c r="Q455" i="14"/>
  <c r="Q565" i="14"/>
  <c r="I701" i="14"/>
  <c r="Q704" i="14"/>
  <c r="M650" i="14"/>
  <c r="Q672" i="14"/>
  <c r="I1042" i="14"/>
  <c r="Q1045" i="14"/>
  <c r="I590" i="14"/>
  <c r="Q593" i="14"/>
  <c r="Q128" i="14"/>
  <c r="Q1093" i="14"/>
  <c r="I1644" i="14"/>
  <c r="K1644" i="14" s="1"/>
  <c r="I940" i="14"/>
  <c r="Q943" i="14"/>
  <c r="I949" i="14"/>
  <c r="Q952" i="14"/>
  <c r="Q1119" i="14"/>
  <c r="I1116" i="14"/>
  <c r="I272" i="14"/>
  <c r="Q275" i="14"/>
  <c r="I550" i="14"/>
  <c r="Q553" i="14"/>
  <c r="Q310" i="14"/>
  <c r="M300" i="14"/>
  <c r="O300" i="14" s="1"/>
  <c r="S300" i="14" s="1"/>
  <c r="Q322" i="14"/>
  <c r="I895" i="14"/>
  <c r="Q898" i="14"/>
  <c r="Q540" i="14"/>
  <c r="I537" i="14"/>
  <c r="I985" i="14"/>
  <c r="Q988" i="14"/>
  <c r="M1668" i="14"/>
  <c r="Q1680" i="14"/>
  <c r="M1709" i="14"/>
  <c r="O1709" i="14" s="1"/>
  <c r="Q1718" i="14"/>
  <c r="M1542" i="14"/>
  <c r="Q1553" i="14"/>
  <c r="I1500" i="14"/>
  <c r="Q491" i="14"/>
  <c r="M482" i="14"/>
  <c r="M949" i="14"/>
  <c r="O949" i="14" s="1"/>
  <c r="Q960" i="14"/>
  <c r="I105" i="14"/>
  <c r="K105" i="14" s="1"/>
  <c r="Q80" i="14"/>
  <c r="B141" i="14" l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M1285" i="14"/>
  <c r="B533" i="14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R650" i="14"/>
  <c r="N643" i="14"/>
  <c r="B417" i="14"/>
  <c r="B418" i="14" s="1"/>
  <c r="B419" i="14" s="1"/>
  <c r="B420" i="14" s="1"/>
  <c r="B421" i="14" s="1"/>
  <c r="B422" i="14" s="1"/>
  <c r="B423" i="14" s="1"/>
  <c r="R482" i="14"/>
  <c r="N476" i="14"/>
  <c r="N453" i="14" s="1"/>
  <c r="R1134" i="14"/>
  <c r="J963" i="14"/>
  <c r="R963" i="14" s="1"/>
  <c r="B1348" i="14"/>
  <c r="O1294" i="14"/>
  <c r="S1294" i="14" s="1"/>
  <c r="R1294" i="14"/>
  <c r="R1542" i="14"/>
  <c r="Q640" i="14"/>
  <c r="R1541" i="14"/>
  <c r="K571" i="14"/>
  <c r="S571" i="14" s="1"/>
  <c r="Q256" i="14"/>
  <c r="S1747" i="14"/>
  <c r="Q1569" i="14"/>
  <c r="Q913" i="14"/>
  <c r="I1568" i="14"/>
  <c r="Q1568" i="14" s="1"/>
  <c r="M1746" i="14"/>
  <c r="O1746" i="14" s="1"/>
  <c r="S1303" i="14"/>
  <c r="Q1747" i="14"/>
  <c r="M630" i="14"/>
  <c r="M476" i="14" s="1"/>
  <c r="Q454" i="14"/>
  <c r="K1099" i="14"/>
  <c r="S1099" i="14" s="1"/>
  <c r="M193" i="14"/>
  <c r="Q580" i="14"/>
  <c r="S344" i="14"/>
  <c r="Q1610" i="14"/>
  <c r="J9" i="14"/>
  <c r="E6" i="15" s="1"/>
  <c r="O1668" i="14"/>
  <c r="S1668" i="14" s="1"/>
  <c r="O244" i="14"/>
  <c r="S244" i="14" s="1"/>
  <c r="O166" i="14"/>
  <c r="S166" i="14" s="1"/>
  <c r="R1610" i="14"/>
  <c r="K949" i="14"/>
  <c r="S949" i="14" s="1"/>
  <c r="N101" i="14"/>
  <c r="I8" i="15" s="1"/>
  <c r="O726" i="14"/>
  <c r="Q166" i="14"/>
  <c r="N1567" i="14"/>
  <c r="I16" i="15" s="1"/>
  <c r="Q1303" i="14"/>
  <c r="O1569" i="14"/>
  <c r="S1569" i="14" s="1"/>
  <c r="R1478" i="14"/>
  <c r="J857" i="14"/>
  <c r="R857" i="14" s="1"/>
  <c r="Q360" i="14"/>
  <c r="Q234" i="14"/>
  <c r="I354" i="14"/>
  <c r="M105" i="14"/>
  <c r="Q105" i="14" s="1"/>
  <c r="I233" i="14"/>
  <c r="Q233" i="14" s="1"/>
  <c r="K904" i="14"/>
  <c r="S904" i="14" s="1"/>
  <c r="J1468" i="14"/>
  <c r="E15" i="15" s="1"/>
  <c r="S360" i="14"/>
  <c r="R1667" i="14"/>
  <c r="K1690" i="14"/>
  <c r="S1690" i="14" s="1"/>
  <c r="Q1690" i="14"/>
  <c r="I1689" i="14"/>
  <c r="J1608" i="14"/>
  <c r="R1608" i="14" s="1"/>
  <c r="O550" i="14"/>
  <c r="K1746" i="14"/>
  <c r="Q494" i="14"/>
  <c r="K755" i="14"/>
  <c r="Q1116" i="14"/>
  <c r="K1116" i="14"/>
  <c r="S1116" i="14" s="1"/>
  <c r="Q1286" i="14"/>
  <c r="O1286" i="14"/>
  <c r="S1286" i="14" s="1"/>
  <c r="Q808" i="14"/>
  <c r="K808" i="14"/>
  <c r="S808" i="14" s="1"/>
  <c r="Q1246" i="14"/>
  <c r="K1246" i="14"/>
  <c r="S1246" i="14" s="1"/>
  <c r="Q292" i="14"/>
  <c r="O292" i="14"/>
  <c r="S292" i="14" s="1"/>
  <c r="Q993" i="14"/>
  <c r="K993" i="14"/>
  <c r="S993" i="14" s="1"/>
  <c r="N220" i="14"/>
  <c r="R220" i="14" s="1"/>
  <c r="R221" i="14"/>
  <c r="J1267" i="14"/>
  <c r="Q974" i="14"/>
  <c r="K974" i="14"/>
  <c r="S974" i="14" s="1"/>
  <c r="Q602" i="14"/>
  <c r="K602" i="14"/>
  <c r="S602" i="14" s="1"/>
  <c r="O482" i="14"/>
  <c r="S482" i="14" s="1"/>
  <c r="M1541" i="14"/>
  <c r="O1542" i="14"/>
  <c r="S1542" i="14" s="1"/>
  <c r="Q550" i="14"/>
  <c r="K550" i="14"/>
  <c r="Q940" i="14"/>
  <c r="K940" i="14"/>
  <c r="S940" i="14" s="1"/>
  <c r="Q590" i="14"/>
  <c r="K590" i="14"/>
  <c r="S590" i="14" s="1"/>
  <c r="I220" i="14"/>
  <c r="K220" i="14" s="1"/>
  <c r="K221" i="14"/>
  <c r="Q1517" i="14"/>
  <c r="K1517" i="14"/>
  <c r="S1517" i="14" s="1"/>
  <c r="Q1604" i="14"/>
  <c r="K1604" i="14"/>
  <c r="S1604" i="14" s="1"/>
  <c r="Q1134" i="14"/>
  <c r="K1134" i="14"/>
  <c r="S1134" i="14" s="1"/>
  <c r="Q1058" i="14"/>
  <c r="K1058" i="14"/>
  <c r="S1058" i="14" s="1"/>
  <c r="R1173" i="14"/>
  <c r="R105" i="14"/>
  <c r="Q1173" i="14"/>
  <c r="K1173" i="14"/>
  <c r="S1173" i="14" s="1"/>
  <c r="O1568" i="14"/>
  <c r="J343" i="14"/>
  <c r="I1534" i="14"/>
  <c r="K1535" i="14"/>
  <c r="S1535" i="14" s="1"/>
  <c r="Q1535" i="14"/>
  <c r="R116" i="14"/>
  <c r="Q922" i="14"/>
  <c r="K922" i="14"/>
  <c r="S922" i="14" s="1"/>
  <c r="S1709" i="14"/>
  <c r="M1608" i="14"/>
  <c r="O1608" i="14" s="1"/>
  <c r="O1610" i="14"/>
  <c r="Q465" i="14"/>
  <c r="K465" i="14"/>
  <c r="S465" i="14" s="1"/>
  <c r="O128" i="14"/>
  <c r="S128" i="14" s="1"/>
  <c r="N1500" i="14"/>
  <c r="R1500" i="14" s="1"/>
  <c r="R1501" i="14"/>
  <c r="E10" i="15"/>
  <c r="M10" i="15" s="1"/>
  <c r="R271" i="14"/>
  <c r="Q1758" i="14"/>
  <c r="K1758" i="14"/>
  <c r="S1758" i="14" s="1"/>
  <c r="R291" i="14"/>
  <c r="K1228" i="14"/>
  <c r="S1228" i="14" s="1"/>
  <c r="Q1228" i="14"/>
  <c r="N1395" i="14"/>
  <c r="I14" i="15" s="1"/>
  <c r="R1415" i="14"/>
  <c r="O1469" i="14"/>
  <c r="Q79" i="14"/>
  <c r="K79" i="14"/>
  <c r="S79" i="14" s="1"/>
  <c r="Q678" i="14"/>
  <c r="K678" i="14"/>
  <c r="Q1074" i="14"/>
  <c r="K1074" i="14"/>
  <c r="S1074" i="14" s="1"/>
  <c r="Q518" i="14"/>
  <c r="K518" i="14"/>
  <c r="S518" i="14" s="1"/>
  <c r="Q1500" i="14"/>
  <c r="K1500" i="14"/>
  <c r="Q895" i="14"/>
  <c r="K895" i="14"/>
  <c r="S895" i="14" s="1"/>
  <c r="Q1190" i="14"/>
  <c r="K1190" i="14"/>
  <c r="S1190" i="14" s="1"/>
  <c r="Q1346" i="14"/>
  <c r="K1346" i="14"/>
  <c r="S1346" i="14" s="1"/>
  <c r="Q867" i="14"/>
  <c r="K867" i="14"/>
  <c r="S867" i="14" s="1"/>
  <c r="Q879" i="14"/>
  <c r="K879" i="14"/>
  <c r="S879" i="14" s="1"/>
  <c r="E8" i="15"/>
  <c r="Q88" i="14"/>
  <c r="K88" i="14"/>
  <c r="S88" i="14" s="1"/>
  <c r="Q1723" i="14"/>
  <c r="K1723" i="14"/>
  <c r="S1723" i="14" s="1"/>
  <c r="Q1015" i="14"/>
  <c r="K1015" i="14"/>
  <c r="S1015" i="14" s="1"/>
  <c r="Q1490" i="14"/>
  <c r="K1490" i="14"/>
  <c r="S1490" i="14" s="1"/>
  <c r="K1667" i="14"/>
  <c r="Q1342" i="14"/>
  <c r="K1342" i="14"/>
  <c r="S1342" i="14" s="1"/>
  <c r="O221" i="14"/>
  <c r="Q506" i="14"/>
  <c r="K506" i="14"/>
  <c r="S506" i="14" s="1"/>
  <c r="S315" i="14"/>
  <c r="R1582" i="14"/>
  <c r="J1568" i="14"/>
  <c r="O1432" i="14"/>
  <c r="S1432" i="14" s="1"/>
  <c r="Q611" i="14"/>
  <c r="K611" i="14"/>
  <c r="S611" i="14" s="1"/>
  <c r="M755" i="14"/>
  <c r="O776" i="14"/>
  <c r="S776" i="14" s="1"/>
  <c r="K1708" i="14"/>
  <c r="O678" i="14"/>
  <c r="R1326" i="14"/>
  <c r="N1285" i="14"/>
  <c r="N1267" i="14" s="1"/>
  <c r="I13" i="15" s="1"/>
  <c r="R1469" i="14"/>
  <c r="Q1034" i="14"/>
  <c r="K1034" i="14"/>
  <c r="S1034" i="14" s="1"/>
  <c r="Q931" i="14"/>
  <c r="K931" i="14"/>
  <c r="S931" i="14" s="1"/>
  <c r="Q1582" i="14"/>
  <c r="K1582" i="14"/>
  <c r="S1582" i="14" s="1"/>
  <c r="Q726" i="14"/>
  <c r="K726" i="14"/>
  <c r="I1478" i="14"/>
  <c r="K1478" i="14" s="1"/>
  <c r="S1478" i="14" s="1"/>
  <c r="K1479" i="14"/>
  <c r="S1479" i="14" s="1"/>
  <c r="N9" i="14"/>
  <c r="R45" i="14"/>
  <c r="K181" i="14"/>
  <c r="S181" i="14" s="1"/>
  <c r="Q181" i="14"/>
  <c r="Q1700" i="14"/>
  <c r="K1700" i="14"/>
  <c r="S1700" i="14" s="1"/>
  <c r="R244" i="14"/>
  <c r="O537" i="14"/>
  <c r="Q321" i="14"/>
  <c r="K321" i="14"/>
  <c r="S321" i="14" s="1"/>
  <c r="Q562" i="14"/>
  <c r="K562" i="14"/>
  <c r="S562" i="14" s="1"/>
  <c r="F358" i="13"/>
  <c r="F360" i="13" s="1"/>
  <c r="E4" i="15"/>
  <c r="Q985" i="14"/>
  <c r="K985" i="14"/>
  <c r="S985" i="14" s="1"/>
  <c r="Q701" i="14"/>
  <c r="K701" i="14"/>
  <c r="S701" i="14" s="1"/>
  <c r="I1541" i="14"/>
  <c r="K1541" i="14" s="1"/>
  <c r="Q537" i="14"/>
  <c r="K537" i="14"/>
  <c r="I271" i="14"/>
  <c r="K271" i="14" s="1"/>
  <c r="K272" i="14"/>
  <c r="S272" i="14" s="1"/>
  <c r="Q1042" i="14"/>
  <c r="K1042" i="14"/>
  <c r="S1042" i="14" s="1"/>
  <c r="Q650" i="14"/>
  <c r="O650" i="14"/>
  <c r="S650" i="14" s="1"/>
  <c r="Q1050" i="14"/>
  <c r="K1050" i="14"/>
  <c r="S1050" i="14" s="1"/>
  <c r="Q1066" i="14"/>
  <c r="K1066" i="14"/>
  <c r="S1066" i="14" s="1"/>
  <c r="I1609" i="14"/>
  <c r="K1609" i="14" s="1"/>
  <c r="S1609" i="14" s="1"/>
  <c r="K1610" i="14"/>
  <c r="M779" i="14"/>
  <c r="O779" i="14" s="1"/>
  <c r="S779" i="14" s="1"/>
  <c r="O802" i="14"/>
  <c r="S802" i="14" s="1"/>
  <c r="Q1208" i="14"/>
  <c r="K1208" i="14"/>
  <c r="S1208" i="14" s="1"/>
  <c r="Q1326" i="14"/>
  <c r="K1326" i="14"/>
  <c r="S1326" i="14" s="1"/>
  <c r="S834" i="14"/>
  <c r="Q1410" i="14"/>
  <c r="K1410" i="14"/>
  <c r="S1410" i="14" s="1"/>
  <c r="M353" i="14"/>
  <c r="O374" i="14"/>
  <c r="S374" i="14" s="1"/>
  <c r="E7" i="15"/>
  <c r="M7" i="15" s="1"/>
  <c r="R79" i="14"/>
  <c r="J643" i="14"/>
  <c r="N354" i="14"/>
  <c r="R360" i="14"/>
  <c r="R1569" i="14"/>
  <c r="E14" i="15"/>
  <c r="Q1090" i="14"/>
  <c r="K1090" i="14"/>
  <c r="S1090" i="14" s="1"/>
  <c r="Q1623" i="14"/>
  <c r="K1623" i="14"/>
  <c r="S1623" i="14" s="1"/>
  <c r="O116" i="14"/>
  <c r="S116" i="14" s="1"/>
  <c r="J1745" i="14"/>
  <c r="R1746" i="14"/>
  <c r="M1644" i="14"/>
  <c r="Q1644" i="14" s="1"/>
  <c r="O1645" i="14"/>
  <c r="S1645" i="14" s="1"/>
  <c r="R1668" i="14"/>
  <c r="Q1375" i="14"/>
  <c r="K1375" i="14"/>
  <c r="S1375" i="14" s="1"/>
  <c r="O494" i="14"/>
  <c r="S494" i="14" s="1"/>
  <c r="M1415" i="14"/>
  <c r="O1423" i="14"/>
  <c r="S1423" i="14" s="1"/>
  <c r="Q1423" i="14"/>
  <c r="Q1243" i="14"/>
  <c r="K1243" i="14"/>
  <c r="S1243" i="14" s="1"/>
  <c r="Q1004" i="14"/>
  <c r="K1004" i="14"/>
  <c r="S1004" i="14" s="1"/>
  <c r="K1151" i="14"/>
  <c r="S1151" i="14" s="1"/>
  <c r="R233" i="14"/>
  <c r="J193" i="14"/>
  <c r="R726" i="14"/>
  <c r="Q802" i="14"/>
  <c r="I1594" i="14"/>
  <c r="Q834" i="14"/>
  <c r="I857" i="14"/>
  <c r="I1395" i="14"/>
  <c r="I643" i="14"/>
  <c r="I1285" i="14"/>
  <c r="I973" i="14"/>
  <c r="Q1231" i="14"/>
  <c r="I1227" i="14"/>
  <c r="I476" i="14"/>
  <c r="I101" i="14"/>
  <c r="Q1542" i="14"/>
  <c r="Q300" i="14"/>
  <c r="M291" i="14"/>
  <c r="O291" i="14" s="1"/>
  <c r="S291" i="14" s="1"/>
  <c r="Q272" i="14"/>
  <c r="I1745" i="14"/>
  <c r="Q384" i="14"/>
  <c r="M383" i="14"/>
  <c r="O383" i="14" s="1"/>
  <c r="S383" i="14" s="1"/>
  <c r="I1635" i="14"/>
  <c r="M1708" i="14"/>
  <c r="Q1709" i="14"/>
  <c r="M1667" i="14"/>
  <c r="O1667" i="14" s="1"/>
  <c r="Q1668" i="14"/>
  <c r="M857" i="14"/>
  <c r="O857" i="14" s="1"/>
  <c r="Q949" i="14"/>
  <c r="Q482" i="14"/>
  <c r="B602" i="14" l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599" i="14"/>
  <c r="B600" i="14" s="1"/>
  <c r="B601" i="14" s="1"/>
  <c r="B1349" i="14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424" i="14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O630" i="14"/>
  <c r="S630" i="14" s="1"/>
  <c r="Q630" i="14"/>
  <c r="K1568" i="14"/>
  <c r="S1568" i="14" s="1"/>
  <c r="Q1746" i="14"/>
  <c r="M1745" i="14"/>
  <c r="O1745" i="14" s="1"/>
  <c r="Q1478" i="14"/>
  <c r="K857" i="14"/>
  <c r="S857" i="14" s="1"/>
  <c r="M8" i="15"/>
  <c r="N193" i="14"/>
  <c r="I9" i="15" s="1"/>
  <c r="O220" i="14"/>
  <c r="S220" i="14" s="1"/>
  <c r="S726" i="14"/>
  <c r="K233" i="14"/>
  <c r="S233" i="14" s="1"/>
  <c r="Q1541" i="14"/>
  <c r="R101" i="14"/>
  <c r="R1395" i="14"/>
  <c r="Q779" i="14"/>
  <c r="M14" i="15"/>
  <c r="O105" i="14"/>
  <c r="S105" i="14" s="1"/>
  <c r="K354" i="14"/>
  <c r="Q354" i="14"/>
  <c r="I353" i="14"/>
  <c r="M643" i="14"/>
  <c r="O643" i="14" s="1"/>
  <c r="M101" i="14"/>
  <c r="O101" i="14" s="1"/>
  <c r="I1608" i="14"/>
  <c r="Q1608" i="14" s="1"/>
  <c r="S537" i="14"/>
  <c r="Q1609" i="14"/>
  <c r="I1469" i="14"/>
  <c r="I1468" i="14" s="1"/>
  <c r="R476" i="14"/>
  <c r="N452" i="14"/>
  <c r="I12" i="15" s="1"/>
  <c r="S1746" i="14"/>
  <c r="S550" i="14"/>
  <c r="Q1689" i="14"/>
  <c r="K1689" i="14"/>
  <c r="S1689" i="14" s="1"/>
  <c r="M1267" i="14"/>
  <c r="O1267" i="14" s="1"/>
  <c r="O1285" i="14"/>
  <c r="M453" i="14"/>
  <c r="O453" i="14" s="1"/>
  <c r="O476" i="14"/>
  <c r="K1745" i="14"/>
  <c r="I1267" i="14"/>
  <c r="K1285" i="14"/>
  <c r="I193" i="14"/>
  <c r="E9" i="15"/>
  <c r="M1635" i="14"/>
  <c r="O1635" i="14" s="1"/>
  <c r="O1644" i="14"/>
  <c r="S1644" i="14" s="1"/>
  <c r="M4" i="15"/>
  <c r="S1667" i="14"/>
  <c r="O1500" i="14"/>
  <c r="S1500" i="14" s="1"/>
  <c r="R453" i="14"/>
  <c r="K1635" i="14"/>
  <c r="Q1227" i="14"/>
  <c r="K1227" i="14"/>
  <c r="S1227" i="14" s="1"/>
  <c r="Q1594" i="14"/>
  <c r="K1594" i="14"/>
  <c r="S1594" i="14" s="1"/>
  <c r="I6" i="15"/>
  <c r="M6" i="15" s="1"/>
  <c r="R9" i="14"/>
  <c r="Q1285" i="14"/>
  <c r="Q1708" i="14"/>
  <c r="O1708" i="14"/>
  <c r="S1708" i="14" s="1"/>
  <c r="Q973" i="14"/>
  <c r="K973" i="14"/>
  <c r="S973" i="14" s="1"/>
  <c r="Q220" i="14"/>
  <c r="S1610" i="14"/>
  <c r="S678" i="14"/>
  <c r="E11" i="15"/>
  <c r="M1468" i="14"/>
  <c r="O1541" i="14"/>
  <c r="S1541" i="14" s="1"/>
  <c r="R1285" i="14"/>
  <c r="R643" i="14"/>
  <c r="Q1534" i="14"/>
  <c r="K1534" i="14"/>
  <c r="S1534" i="14" s="1"/>
  <c r="K101" i="14"/>
  <c r="K643" i="14"/>
  <c r="Q476" i="14"/>
  <c r="K476" i="14"/>
  <c r="K1395" i="14"/>
  <c r="J452" i="14"/>
  <c r="O1415" i="14"/>
  <c r="S1415" i="14" s="1"/>
  <c r="Q1415" i="14"/>
  <c r="M1395" i="14"/>
  <c r="O1395" i="14" s="1"/>
  <c r="E17" i="15"/>
  <c r="M17" i="15" s="1"/>
  <c r="R1745" i="14"/>
  <c r="N353" i="14"/>
  <c r="O353" i="14" s="1"/>
  <c r="R354" i="14"/>
  <c r="O354" i="14"/>
  <c r="O755" i="14"/>
  <c r="S755" i="14" s="1"/>
  <c r="Q755" i="14"/>
  <c r="R1568" i="14"/>
  <c r="J1567" i="14"/>
  <c r="N1468" i="14"/>
  <c r="S221" i="14"/>
  <c r="E13" i="15"/>
  <c r="M13" i="15" s="1"/>
  <c r="R1267" i="14"/>
  <c r="I453" i="14"/>
  <c r="K453" i="14" s="1"/>
  <c r="I963" i="14"/>
  <c r="M343" i="14"/>
  <c r="Q383" i="14"/>
  <c r="M271" i="14"/>
  <c r="Q291" i="14"/>
  <c r="Q1667" i="14"/>
  <c r="I1567" i="14"/>
  <c r="Q857" i="14"/>
  <c r="B1373" i="14" l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714" i="14"/>
  <c r="B715" i="14" s="1"/>
  <c r="B716" i="14" s="1"/>
  <c r="B717" i="14" s="1"/>
  <c r="Q643" i="14"/>
  <c r="M9" i="15"/>
  <c r="S1745" i="14"/>
  <c r="K1608" i="14"/>
  <c r="S1608" i="14" s="1"/>
  <c r="Q1745" i="14"/>
  <c r="S1635" i="14"/>
  <c r="R193" i="14"/>
  <c r="O193" i="14"/>
  <c r="K1567" i="14"/>
  <c r="S1285" i="14"/>
  <c r="Q101" i="14"/>
  <c r="K1469" i="14"/>
  <c r="S1469" i="14" s="1"/>
  <c r="M452" i="14"/>
  <c r="O452" i="14" s="1"/>
  <c r="S453" i="14"/>
  <c r="S643" i="14"/>
  <c r="S354" i="14"/>
  <c r="S101" i="14"/>
  <c r="K353" i="14"/>
  <c r="S353" i="14" s="1"/>
  <c r="I343" i="14"/>
  <c r="K343" i="14" s="1"/>
  <c r="Q353" i="14"/>
  <c r="K1468" i="14"/>
  <c r="Q1468" i="14"/>
  <c r="Q1469" i="14"/>
  <c r="Q271" i="14"/>
  <c r="O271" i="14"/>
  <c r="S271" i="14" s="1"/>
  <c r="S1395" i="14"/>
  <c r="Q1635" i="14"/>
  <c r="Q1267" i="14"/>
  <c r="K1267" i="14"/>
  <c r="S1267" i="14" s="1"/>
  <c r="Q963" i="14"/>
  <c r="K963" i="14"/>
  <c r="S963" i="14" s="1"/>
  <c r="E12" i="15"/>
  <c r="R452" i="14"/>
  <c r="I15" i="15"/>
  <c r="M15" i="15" s="1"/>
  <c r="R1468" i="14"/>
  <c r="M1567" i="14"/>
  <c r="O1567" i="14" s="1"/>
  <c r="E16" i="15"/>
  <c r="M16" i="15" s="1"/>
  <c r="R1567" i="14"/>
  <c r="N343" i="14"/>
  <c r="O343" i="14" s="1"/>
  <c r="R353" i="14"/>
  <c r="Q1395" i="14"/>
  <c r="Q453" i="14"/>
  <c r="I452" i="14"/>
  <c r="K452" i="14" s="1"/>
  <c r="S476" i="14"/>
  <c r="O1468" i="14"/>
  <c r="Q193" i="14"/>
  <c r="K193" i="14"/>
  <c r="S193" i="14" l="1"/>
  <c r="S343" i="14"/>
  <c r="B718" i="14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S1567" i="14"/>
  <c r="S1468" i="14"/>
  <c r="S452" i="14"/>
  <c r="Q343" i="14"/>
  <c r="Q452" i="14"/>
  <c r="Q1567" i="14"/>
  <c r="I11" i="15"/>
  <c r="R343" i="14"/>
  <c r="M12" i="15"/>
  <c r="E5" i="15"/>
  <c r="Q43" i="14"/>
  <c r="E165" i="13"/>
  <c r="G165" i="13" s="1"/>
  <c r="E84" i="13"/>
  <c r="H7" i="15"/>
  <c r="J7" i="15" s="1"/>
  <c r="B24" i="15"/>
  <c r="B25" i="15" s="1"/>
  <c r="B26" i="15" s="1"/>
  <c r="B27" i="15" s="1"/>
  <c r="B28" i="15" s="1"/>
  <c r="B29" i="15" s="1"/>
  <c r="B30" i="15" s="1"/>
  <c r="B31" i="15" s="1"/>
  <c r="L30" i="15"/>
  <c r="N30" i="15" s="1"/>
  <c r="M40" i="14"/>
  <c r="O40" i="14" s="1"/>
  <c r="S40" i="14" s="1"/>
  <c r="O53" i="14"/>
  <c r="S53" i="14" s="1"/>
  <c r="B32" i="15" l="1"/>
  <c r="B33" i="15" s="1"/>
  <c r="B34" i="15" s="1"/>
  <c r="B35" i="15" s="1"/>
  <c r="B766" i="14"/>
  <c r="B767" i="14" s="1"/>
  <c r="B768" i="14" s="1"/>
  <c r="B769" i="14" s="1"/>
  <c r="B770" i="14" s="1"/>
  <c r="E18" i="15"/>
  <c r="I5" i="15"/>
  <c r="I19" i="15" s="1"/>
  <c r="M11" i="15"/>
  <c r="E83" i="13"/>
  <c r="G83" i="13" s="1"/>
  <c r="G84" i="13"/>
  <c r="L24" i="15"/>
  <c r="N24" i="15" s="1"/>
  <c r="M54" i="14"/>
  <c r="M39" i="14"/>
  <c r="O39" i="14" s="1"/>
  <c r="S39" i="14" s="1"/>
  <c r="Q41" i="14"/>
  <c r="I22" i="14"/>
  <c r="E297" i="13"/>
  <c r="L31" i="15"/>
  <c r="N31" i="15" s="1"/>
  <c r="E321" i="13"/>
  <c r="E270" i="13"/>
  <c r="E255" i="13"/>
  <c r="G255" i="13" s="1"/>
  <c r="E254" i="13"/>
  <c r="G254" i="13" s="1"/>
  <c r="E247" i="13"/>
  <c r="G247" i="13" s="1"/>
  <c r="E246" i="13"/>
  <c r="G246" i="13" s="1"/>
  <c r="E229" i="13"/>
  <c r="G229" i="13" s="1"/>
  <c r="E228" i="13"/>
  <c r="G228" i="13" s="1"/>
  <c r="E239" i="13"/>
  <c r="G239" i="13" s="1"/>
  <c r="E238" i="13"/>
  <c r="G238" i="13" s="1"/>
  <c r="E218" i="13"/>
  <c r="G218" i="13" s="1"/>
  <c r="E217" i="13"/>
  <c r="G217" i="13" s="1"/>
  <c r="E211" i="13"/>
  <c r="E205" i="13"/>
  <c r="G205" i="13" s="1"/>
  <c r="E204" i="13"/>
  <c r="G204" i="13" s="1"/>
  <c r="E195" i="13"/>
  <c r="G195" i="13" s="1"/>
  <c r="E194" i="13"/>
  <c r="G194" i="13" s="1"/>
  <c r="E43" i="13"/>
  <c r="G43" i="13" s="1"/>
  <c r="E260" i="13"/>
  <c r="E136" i="13"/>
  <c r="E132" i="13"/>
  <c r="E128" i="13"/>
  <c r="E124" i="13"/>
  <c r="E120" i="13"/>
  <c r="E116" i="13"/>
  <c r="E112" i="13"/>
  <c r="E144" i="13"/>
  <c r="E108" i="13"/>
  <c r="E104" i="13"/>
  <c r="E100" i="13"/>
  <c r="E96" i="13"/>
  <c r="E92" i="13"/>
  <c r="E88" i="13"/>
  <c r="Q70" i="14"/>
  <c r="Q69" i="14"/>
  <c r="Q66" i="14"/>
  <c r="Q64" i="14"/>
  <c r="Q63" i="14"/>
  <c r="Q60" i="14"/>
  <c r="Q58" i="14"/>
  <c r="Q57" i="14"/>
  <c r="Q56" i="14"/>
  <c r="Q53" i="14"/>
  <c r="Q49" i="14"/>
  <c r="Q44" i="14"/>
  <c r="Q40" i="14"/>
  <c r="Q36" i="14"/>
  <c r="Q35" i="14"/>
  <c r="Q34" i="14"/>
  <c r="Q30" i="14"/>
  <c r="Q29" i="14"/>
  <c r="Q28" i="14"/>
  <c r="Q27" i="14"/>
  <c r="Q25" i="14"/>
  <c r="Q23" i="14"/>
  <c r="Q20" i="14"/>
  <c r="Q17" i="14"/>
  <c r="Q16" i="14"/>
  <c r="Q15" i="14"/>
  <c r="Q14" i="14"/>
  <c r="Q13" i="14"/>
  <c r="E234" i="13"/>
  <c r="E216" i="13"/>
  <c r="G216" i="13" s="1"/>
  <c r="E208" i="13"/>
  <c r="M52" i="14"/>
  <c r="M42" i="14"/>
  <c r="I62" i="14"/>
  <c r="I68" i="14"/>
  <c r="I65" i="14"/>
  <c r="I48" i="14"/>
  <c r="I26" i="14"/>
  <c r="I19" i="14"/>
  <c r="I12" i="14"/>
  <c r="K12" i="14" s="1"/>
  <c r="S12" i="14" s="1"/>
  <c r="E300" i="13"/>
  <c r="E294" i="13"/>
  <c r="E279" i="13"/>
  <c r="E257" i="13"/>
  <c r="G257" i="13" s="1"/>
  <c r="E249" i="13"/>
  <c r="G249" i="13" s="1"/>
  <c r="E241" i="13"/>
  <c r="G241" i="13" s="1"/>
  <c r="E223" i="13"/>
  <c r="G223" i="13" s="1"/>
  <c r="E213" i="13"/>
  <c r="G213" i="13" s="1"/>
  <c r="E199" i="13"/>
  <c r="G199" i="13" s="1"/>
  <c r="E196" i="13"/>
  <c r="G196" i="13" s="1"/>
  <c r="E190" i="13"/>
  <c r="G190" i="13" s="1"/>
  <c r="E187" i="13"/>
  <c r="G187" i="13" s="1"/>
  <c r="E184" i="13"/>
  <c r="G184" i="13" s="1"/>
  <c r="E179" i="13"/>
  <c r="G179" i="13" s="1"/>
  <c r="E173" i="13"/>
  <c r="G173" i="13" s="1"/>
  <c r="E167" i="13"/>
  <c r="G167" i="13" s="1"/>
  <c r="E163" i="13"/>
  <c r="G163" i="13" s="1"/>
  <c r="E161" i="13"/>
  <c r="G161" i="13" s="1"/>
  <c r="G155" i="13"/>
  <c r="E152" i="13"/>
  <c r="G152" i="13" s="1"/>
  <c r="E147" i="13"/>
  <c r="E141" i="13"/>
  <c r="G141" i="13" s="1"/>
  <c r="E139" i="13"/>
  <c r="G139" i="13" s="1"/>
  <c r="E80" i="13"/>
  <c r="G80" i="13" s="1"/>
  <c r="E76" i="13"/>
  <c r="G76" i="13" s="1"/>
  <c r="E74" i="13"/>
  <c r="G74" i="13" s="1"/>
  <c r="E71" i="13"/>
  <c r="G71" i="13" s="1"/>
  <c r="E69" i="13"/>
  <c r="G69" i="13" s="1"/>
  <c r="E66" i="13"/>
  <c r="G66" i="13" s="1"/>
  <c r="E63" i="13"/>
  <c r="G63" i="13" s="1"/>
  <c r="E59" i="13"/>
  <c r="G59" i="13" s="1"/>
  <c r="E56" i="13"/>
  <c r="G56" i="13" s="1"/>
  <c r="E50" i="13"/>
  <c r="G50" i="13" s="1"/>
  <c r="E47" i="13"/>
  <c r="G47" i="13" s="1"/>
  <c r="E45" i="13"/>
  <c r="G45" i="13" s="1"/>
  <c r="E38" i="13"/>
  <c r="G38" i="13" s="1"/>
  <c r="E35" i="13"/>
  <c r="G35" i="13" s="1"/>
  <c r="E27" i="13"/>
  <c r="G27" i="13" s="1"/>
  <c r="E23" i="13"/>
  <c r="G23" i="13" s="1"/>
  <c r="E9" i="13"/>
  <c r="G9" i="13" s="1"/>
  <c r="E12" i="13"/>
  <c r="E16" i="13"/>
  <c r="G16" i="13" s="1"/>
  <c r="E314" i="13"/>
  <c r="E52" i="13"/>
  <c r="G52" i="13" s="1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3" i="14" s="1"/>
  <c r="B34" i="14" s="1"/>
  <c r="B35" i="14" s="1"/>
  <c r="B36" i="14" s="1"/>
  <c r="B37" i="14" s="1"/>
  <c r="B38" i="14" s="1"/>
  <c r="B39" i="14" s="1"/>
  <c r="B40" i="14" s="1"/>
  <c r="B41" i="14" s="1"/>
  <c r="B313" i="13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8" i="13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L32" i="15"/>
  <c r="N32" i="15" s="1"/>
  <c r="B42" i="14" l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G279" i="13"/>
  <c r="G277" i="13"/>
  <c r="B771" i="14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I47" i="14"/>
  <c r="I45" i="14" s="1"/>
  <c r="K48" i="14"/>
  <c r="S48" i="14" s="1"/>
  <c r="Q42" i="14"/>
  <c r="O42" i="14"/>
  <c r="S42" i="14" s="1"/>
  <c r="Q22" i="14"/>
  <c r="K22" i="14"/>
  <c r="S22" i="14" s="1"/>
  <c r="Q65" i="14"/>
  <c r="K65" i="14"/>
  <c r="S65" i="14" s="1"/>
  <c r="Q52" i="14"/>
  <c r="O52" i="14"/>
  <c r="S52" i="14" s="1"/>
  <c r="I33" i="14"/>
  <c r="K37" i="14"/>
  <c r="S37" i="14" s="1"/>
  <c r="I18" i="14"/>
  <c r="K19" i="14"/>
  <c r="S19" i="14" s="1"/>
  <c r="I67" i="14"/>
  <c r="K68" i="14"/>
  <c r="S68" i="14" s="1"/>
  <c r="Q54" i="14"/>
  <c r="O54" i="14"/>
  <c r="S54" i="14" s="1"/>
  <c r="I24" i="14"/>
  <c r="K26" i="14"/>
  <c r="S26" i="14" s="1"/>
  <c r="I61" i="14"/>
  <c r="K61" i="14" s="1"/>
  <c r="S61" i="14" s="1"/>
  <c r="K62" i="14"/>
  <c r="S62" i="14" s="1"/>
  <c r="M5" i="15"/>
  <c r="M20" i="15" s="1"/>
  <c r="M35" i="15" s="1"/>
  <c r="E11" i="13"/>
  <c r="G11" i="13" s="1"/>
  <c r="G12" i="13"/>
  <c r="E146" i="13"/>
  <c r="G146" i="13" s="1"/>
  <c r="G147" i="13"/>
  <c r="E299" i="13"/>
  <c r="G299" i="13" s="1"/>
  <c r="G300" i="13"/>
  <c r="E233" i="13"/>
  <c r="G233" i="13" s="1"/>
  <c r="G234" i="13"/>
  <c r="E99" i="13"/>
  <c r="G99" i="13" s="1"/>
  <c r="G100" i="13"/>
  <c r="E111" i="13"/>
  <c r="G111" i="13" s="1"/>
  <c r="G112" i="13"/>
  <c r="E127" i="13"/>
  <c r="G127" i="13" s="1"/>
  <c r="G128" i="13"/>
  <c r="E267" i="13"/>
  <c r="G270" i="13"/>
  <c r="E87" i="13"/>
  <c r="G87" i="13" s="1"/>
  <c r="G88" i="13"/>
  <c r="E103" i="13"/>
  <c r="G103" i="13" s="1"/>
  <c r="G104" i="13"/>
  <c r="E115" i="13"/>
  <c r="G115" i="13" s="1"/>
  <c r="G116" i="13"/>
  <c r="E131" i="13"/>
  <c r="G131" i="13" s="1"/>
  <c r="G132" i="13"/>
  <c r="E210" i="13"/>
  <c r="G210" i="13" s="1"/>
  <c r="G211" i="13"/>
  <c r="E320" i="13"/>
  <c r="G321" i="13"/>
  <c r="E313" i="13"/>
  <c r="G314" i="13"/>
  <c r="E207" i="13"/>
  <c r="G207" i="13" s="1"/>
  <c r="G208" i="13"/>
  <c r="E91" i="13"/>
  <c r="G91" i="13" s="1"/>
  <c r="G92" i="13"/>
  <c r="E107" i="13"/>
  <c r="G107" i="13" s="1"/>
  <c r="G108" i="13"/>
  <c r="E119" i="13"/>
  <c r="G119" i="13" s="1"/>
  <c r="G120" i="13"/>
  <c r="E135" i="13"/>
  <c r="G135" i="13" s="1"/>
  <c r="G136" i="13"/>
  <c r="E293" i="13"/>
  <c r="G293" i="13" s="1"/>
  <c r="G294" i="13"/>
  <c r="E95" i="13"/>
  <c r="G95" i="13" s="1"/>
  <c r="G96" i="13"/>
  <c r="E143" i="13"/>
  <c r="G143" i="13" s="1"/>
  <c r="G144" i="13"/>
  <c r="E123" i="13"/>
  <c r="G123" i="13" s="1"/>
  <c r="G124" i="13"/>
  <c r="E259" i="13"/>
  <c r="G259" i="13" s="1"/>
  <c r="G260" i="13"/>
  <c r="E296" i="13"/>
  <c r="G296" i="13" s="1"/>
  <c r="G297" i="13"/>
  <c r="B351" i="13"/>
  <c r="B352" i="13" s="1"/>
  <c r="L23" i="15"/>
  <c r="N23" i="15" s="1"/>
  <c r="H14" i="15"/>
  <c r="J14" i="15" s="1"/>
  <c r="H17" i="15"/>
  <c r="J17" i="15" s="1"/>
  <c r="D14" i="15"/>
  <c r="F14" i="15" s="1"/>
  <c r="Q47" i="14"/>
  <c r="Q39" i="14"/>
  <c r="M38" i="14"/>
  <c r="Q12" i="14"/>
  <c r="I11" i="14"/>
  <c r="Q55" i="14"/>
  <c r="E151" i="13"/>
  <c r="G151" i="13" s="1"/>
  <c r="E192" i="13"/>
  <c r="E244" i="13"/>
  <c r="E252" i="13"/>
  <c r="E215" i="13"/>
  <c r="E202" i="13"/>
  <c r="E226" i="13"/>
  <c r="E22" i="13"/>
  <c r="G22" i="13" s="1"/>
  <c r="Q68" i="14"/>
  <c r="E44" i="13"/>
  <c r="G44" i="13" s="1"/>
  <c r="E236" i="13"/>
  <c r="B80" i="13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E42" i="13"/>
  <c r="Q19" i="14"/>
  <c r="I21" i="14"/>
  <c r="Q26" i="14"/>
  <c r="Q48" i="14"/>
  <c r="M51" i="14"/>
  <c r="Q62" i="14"/>
  <c r="Q37" i="14"/>
  <c r="K33" i="14" l="1"/>
  <c r="S33" i="14" s="1"/>
  <c r="I31" i="14"/>
  <c r="K31" i="14" s="1"/>
  <c r="E8" i="13"/>
  <c r="E7" i="13" s="1"/>
  <c r="G7" i="13" s="1"/>
  <c r="B146" i="13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794" i="14"/>
  <c r="B795" i="14" s="1"/>
  <c r="B796" i="14" s="1"/>
  <c r="B797" i="14" s="1"/>
  <c r="B798" i="14" s="1"/>
  <c r="B799" i="14" s="1"/>
  <c r="B800" i="14" s="1"/>
  <c r="B801" i="14" s="1"/>
  <c r="B802" i="14" s="1"/>
  <c r="Q33" i="14"/>
  <c r="I59" i="14"/>
  <c r="Q59" i="14" s="1"/>
  <c r="Q61" i="14"/>
  <c r="E256" i="13"/>
  <c r="G256" i="13" s="1"/>
  <c r="Q11" i="14"/>
  <c r="K11" i="14"/>
  <c r="S11" i="14" s="1"/>
  <c r="Q38" i="14"/>
  <c r="O38" i="14"/>
  <c r="S38" i="14" s="1"/>
  <c r="Q24" i="14"/>
  <c r="K24" i="14"/>
  <c r="S24" i="14" s="1"/>
  <c r="Q67" i="14"/>
  <c r="K67" i="14"/>
  <c r="S67" i="14" s="1"/>
  <c r="M45" i="14"/>
  <c r="O45" i="14" s="1"/>
  <c r="O51" i="14"/>
  <c r="S51" i="14" s="1"/>
  <c r="Q21" i="14"/>
  <c r="K21" i="14"/>
  <c r="S21" i="14" s="1"/>
  <c r="Q18" i="14"/>
  <c r="K18" i="14"/>
  <c r="S18" i="14" s="1"/>
  <c r="K45" i="14"/>
  <c r="K47" i="14"/>
  <c r="S47" i="14" s="1"/>
  <c r="E248" i="13"/>
  <c r="G248" i="13" s="1"/>
  <c r="G252" i="13"/>
  <c r="E232" i="13"/>
  <c r="G232" i="13" s="1"/>
  <c r="G236" i="13"/>
  <c r="E312" i="13"/>
  <c r="G312" i="13" s="1"/>
  <c r="G313" i="13"/>
  <c r="E212" i="13"/>
  <c r="G212" i="13" s="1"/>
  <c r="G215" i="13"/>
  <c r="E86" i="13"/>
  <c r="G86" i="13" s="1"/>
  <c r="E319" i="13"/>
  <c r="G320" i="13"/>
  <c r="E263" i="13"/>
  <c r="G263" i="13" s="1"/>
  <c r="G267" i="13"/>
  <c r="E222" i="13"/>
  <c r="G222" i="13" s="1"/>
  <c r="G226" i="13"/>
  <c r="E240" i="13"/>
  <c r="G240" i="13" s="1"/>
  <c r="G244" i="13"/>
  <c r="E206" i="13"/>
  <c r="G206" i="13" s="1"/>
  <c r="E41" i="13"/>
  <c r="G41" i="13" s="1"/>
  <c r="G42" i="13"/>
  <c r="E198" i="13"/>
  <c r="G198" i="13" s="1"/>
  <c r="G202" i="13"/>
  <c r="E189" i="13"/>
  <c r="G189" i="13" s="1"/>
  <c r="G192" i="13"/>
  <c r="H10" i="15"/>
  <c r="J10" i="15" s="1"/>
  <c r="D8" i="15"/>
  <c r="F8" i="15" s="1"/>
  <c r="H13" i="15"/>
  <c r="J13" i="15" s="1"/>
  <c r="H8" i="15"/>
  <c r="J8" i="15" s="1"/>
  <c r="H9" i="15"/>
  <c r="J9" i="15" s="1"/>
  <c r="H16" i="15"/>
  <c r="J16" i="15" s="1"/>
  <c r="D17" i="15"/>
  <c r="F17" i="15" s="1"/>
  <c r="D10" i="15"/>
  <c r="F10" i="15" s="1"/>
  <c r="D7" i="15"/>
  <c r="F7" i="15" s="1"/>
  <c r="D11" i="15"/>
  <c r="F11" i="15" s="1"/>
  <c r="Q51" i="14"/>
  <c r="M31" i="14"/>
  <c r="I10" i="14"/>
  <c r="K10" i="14" s="1"/>
  <c r="S10" i="14" s="1"/>
  <c r="G8" i="13" l="1"/>
  <c r="B160" i="13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803" i="14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K59" i="14"/>
  <c r="S59" i="14" s="1"/>
  <c r="S45" i="14"/>
  <c r="Q31" i="14"/>
  <c r="O31" i="14"/>
  <c r="S31" i="14" s="1"/>
  <c r="E21" i="13"/>
  <c r="G21" i="13" s="1"/>
  <c r="Q45" i="14"/>
  <c r="E262" i="13"/>
  <c r="G319" i="13"/>
  <c r="E318" i="13"/>
  <c r="H15" i="15"/>
  <c r="J15" i="15" s="1"/>
  <c r="H11" i="15"/>
  <c r="J11" i="15" s="1"/>
  <c r="D13" i="15"/>
  <c r="F13" i="15" s="1"/>
  <c r="D9" i="15"/>
  <c r="F9" i="15" s="1"/>
  <c r="L17" i="15"/>
  <c r="N17" i="15" s="1"/>
  <c r="M9" i="14"/>
  <c r="O9" i="14" s="1"/>
  <c r="L7" i="15"/>
  <c r="N7" i="15" s="1"/>
  <c r="Q10" i="14"/>
  <c r="I9" i="14"/>
  <c r="K9" i="14" s="1"/>
  <c r="B291" i="13" l="1"/>
  <c r="B847" i="14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S9" i="14"/>
  <c r="G318" i="13"/>
  <c r="E352" i="13"/>
  <c r="E261" i="13"/>
  <c r="G262" i="13"/>
  <c r="H6" i="15"/>
  <c r="J6" i="15" s="1"/>
  <c r="D6" i="15"/>
  <c r="F6" i="15" s="1"/>
  <c r="H12" i="15"/>
  <c r="J12" i="15" s="1"/>
  <c r="D16" i="15"/>
  <c r="F16" i="15" s="1"/>
  <c r="D15" i="15"/>
  <c r="D12" i="15"/>
  <c r="F12" i="15" s="1"/>
  <c r="Q9" i="14"/>
  <c r="L9" i="15"/>
  <c r="N9" i="15" s="1"/>
  <c r="L11" i="15"/>
  <c r="N11" i="15" s="1"/>
  <c r="L14" i="15"/>
  <c r="N14" i="15" s="1"/>
  <c r="B292" i="13" l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962" i="14"/>
  <c r="B964" i="14"/>
  <c r="B967" i="14" s="1"/>
  <c r="B970" i="14" s="1"/>
  <c r="B973" i="14" s="1"/>
  <c r="B976" i="14" s="1"/>
  <c r="L15" i="15"/>
  <c r="N15" i="15" s="1"/>
  <c r="F15" i="15"/>
  <c r="G261" i="13"/>
  <c r="E306" i="13"/>
  <c r="E359" i="13"/>
  <c r="G359" i="13" s="1"/>
  <c r="G352" i="13"/>
  <c r="H4" i="15"/>
  <c r="J4" i="15" s="1"/>
  <c r="L6" i="15"/>
  <c r="N6" i="15" s="1"/>
  <c r="L13" i="15"/>
  <c r="N13" i="15" s="1"/>
  <c r="L16" i="15"/>
  <c r="N16" i="15" s="1"/>
  <c r="L12" i="15"/>
  <c r="N12" i="15" s="1"/>
  <c r="L10" i="15"/>
  <c r="N10" i="15" s="1"/>
  <c r="L8" i="15"/>
  <c r="N8" i="15" s="1"/>
  <c r="B979" i="14" l="1"/>
  <c r="B982" i="14" s="1"/>
  <c r="B985" i="14" s="1"/>
  <c r="B988" i="14" s="1"/>
  <c r="B991" i="14" s="1"/>
  <c r="B994" i="14" s="1"/>
  <c r="B997" i="14" s="1"/>
  <c r="B1000" i="14" s="1"/>
  <c r="B1003" i="14" s="1"/>
  <c r="B1006" i="14" s="1"/>
  <c r="B1009" i="14" s="1"/>
  <c r="B1015" i="14" s="1"/>
  <c r="B1018" i="14" s="1"/>
  <c r="B963" i="14"/>
  <c r="B965" i="14"/>
  <c r="B968" i="14" s="1"/>
  <c r="B971" i="14" s="1"/>
  <c r="B974" i="14" s="1"/>
  <c r="B977" i="14" s="1"/>
  <c r="E358" i="13"/>
  <c r="G306" i="13"/>
  <c r="D4" i="15"/>
  <c r="H5" i="15"/>
  <c r="J5" i="15" s="1"/>
  <c r="D5" i="15"/>
  <c r="F5" i="15" s="1"/>
  <c r="B1012" i="14" l="1"/>
  <c r="B980" i="14"/>
  <c r="B983" i="14" s="1"/>
  <c r="B986" i="14" s="1"/>
  <c r="B989" i="14" s="1"/>
  <c r="B992" i="14" s="1"/>
  <c r="B995" i="14" s="1"/>
  <c r="B998" i="14" s="1"/>
  <c r="B1001" i="14" s="1"/>
  <c r="B1004" i="14" s="1"/>
  <c r="B1007" i="14" s="1"/>
  <c r="B1010" i="14" s="1"/>
  <c r="B966" i="14"/>
  <c r="B969" i="14" s="1"/>
  <c r="B972" i="14" s="1"/>
  <c r="B975" i="14" s="1"/>
  <c r="B978" i="14" s="1"/>
  <c r="B981" i="14" s="1"/>
  <c r="B984" i="14" s="1"/>
  <c r="B987" i="14" s="1"/>
  <c r="B990" i="14" s="1"/>
  <c r="B993" i="14" s="1"/>
  <c r="B996" i="14" s="1"/>
  <c r="L4" i="15"/>
  <c r="N4" i="15" s="1"/>
  <c r="F4" i="15"/>
  <c r="E360" i="13"/>
  <c r="G360" i="13" s="1"/>
  <c r="G358" i="13"/>
  <c r="D18" i="15"/>
  <c r="F18" i="15" s="1"/>
  <c r="H19" i="15"/>
  <c r="J19" i="15" s="1"/>
  <c r="L5" i="15"/>
  <c r="N5" i="15" s="1"/>
  <c r="B1013" i="14" l="1"/>
  <c r="B1016" i="14"/>
  <c r="B1019" i="14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999" i="14"/>
  <c r="B1002" i="14" s="1"/>
  <c r="B1005" i="14" s="1"/>
  <c r="B1008" i="14" s="1"/>
  <c r="B1011" i="14" s="1"/>
  <c r="L20" i="15"/>
  <c r="B1017" i="14" l="1"/>
  <c r="B1014" i="14"/>
  <c r="B1170" i="14"/>
  <c r="B1171" i="14" s="1"/>
  <c r="B1172" i="14" s="1"/>
  <c r="B1173" i="14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L35" i="15"/>
  <c r="N35" i="15" s="1"/>
  <c r="N20" i="15"/>
  <c r="B1223" i="14" l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</calcChain>
</file>

<file path=xl/sharedStrings.xml><?xml version="1.0" encoding="utf-8"?>
<sst xmlns="http://schemas.openxmlformats.org/spreadsheetml/2006/main" count="2849" uniqueCount="685">
  <si>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</si>
  <si>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</si>
  <si>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</si>
  <si>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</si>
  <si>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</si>
  <si>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</si>
  <si>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</si>
  <si>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</si>
  <si>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</si>
  <si>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</si>
  <si>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</si>
  <si>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</si>
  <si>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</si>
  <si>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</si>
  <si>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</si>
  <si>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</si>
  <si>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</si>
  <si>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</si>
  <si>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</si>
  <si>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</si>
  <si>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</si>
  <si>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</si>
  <si>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</si>
  <si>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</si>
  <si>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</si>
  <si>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</si>
  <si>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</si>
  <si>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</si>
  <si>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</si>
  <si>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</si>
  <si>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</si>
  <si>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</si>
  <si>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</si>
  <si>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</si>
  <si>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</si>
  <si>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</si>
  <si>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</si>
  <si>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</si>
  <si>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</si>
  <si>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</si>
  <si>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</si>
  <si>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</si>
  <si>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</si>
  <si>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</si>
  <si>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</si>
  <si>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Správa a údržba pozem.komunikácií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</si>
  <si>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</si>
  <si>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</si>
  <si>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</si>
  <si>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</si>
  <si>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</si>
  <si>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</si>
  <si>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</si>
  <si>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</si>
  <si>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</si>
  <si>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</si>
  <si>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</si>
  <si>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</si>
  <si>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</si>
  <si>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</si>
  <si>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</si>
  <si>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</si>
  <si>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</si>
  <si>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</si>
  <si>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</si>
  <si>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</si>
  <si>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</si>
  <si>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</si>
  <si>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</si>
  <si>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</si>
  <si>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</si>
  <si>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</si>
  <si>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</si>
  <si>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0960</t>
  </si>
  <si>
    <t>0111</t>
  </si>
  <si>
    <t>0820</t>
  </si>
  <si>
    <t>1040</t>
  </si>
  <si>
    <t>1012</t>
  </si>
  <si>
    <t>1020</t>
  </si>
  <si>
    <t>Implementácia projektov EU</t>
  </si>
  <si>
    <t>09602</t>
  </si>
  <si>
    <t>Rekonštrukcia a modernizácia</t>
  </si>
  <si>
    <t>71 44</t>
  </si>
  <si>
    <t>MŠ Halašu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</si>
  <si>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</si>
  <si>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</si>
  <si>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</si>
  <si>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</si>
  <si>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</si>
  <si>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</si>
  <si>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</si>
  <si>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</si>
  <si>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</si>
  <si>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</si>
  <si>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</si>
  <si>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</si>
  <si>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MŠ  Turkovej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</si>
  <si>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</si>
  <si>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</si>
  <si>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</si>
  <si>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</si>
  <si>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</si>
  <si>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</si>
  <si>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</si>
  <si>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</si>
  <si>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</si>
  <si>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</si>
  <si>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</si>
  <si>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</si>
  <si>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</si>
  <si>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</si>
  <si>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</si>
  <si>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</si>
  <si>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</si>
  <si>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</si>
  <si>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</si>
  <si>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</si>
  <si>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</si>
  <si>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</si>
  <si>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</si>
  <si>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</si>
  <si>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</si>
  <si>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</si>
  <si>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</si>
  <si>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</si>
  <si>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</si>
  <si>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</si>
  <si>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</si>
  <si>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</si>
  <si>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</si>
  <si>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</si>
  <si>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</si>
  <si>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</si>
  <si>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</si>
  <si>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</si>
  <si>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</si>
  <si>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</si>
  <si>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</si>
  <si>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</si>
  <si>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</si>
  <si>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</si>
  <si>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</si>
  <si>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</si>
  <si>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</si>
  <si>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</si>
  <si>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</si>
  <si>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</si>
  <si>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</si>
  <si>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</si>
  <si>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</si>
  <si>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</si>
  <si>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</si>
  <si>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</si>
  <si>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</si>
  <si>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</si>
  <si>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</si>
  <si>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</si>
  <si>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</si>
  <si>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</si>
  <si>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</si>
  <si>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</si>
  <si>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</si>
  <si>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</si>
  <si>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</si>
  <si>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</si>
  <si>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</si>
  <si>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</si>
  <si>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</si>
  <si>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</si>
  <si>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</si>
  <si>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</si>
  <si>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</si>
  <si>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</si>
  <si>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</si>
  <si>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</si>
  <si>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</si>
  <si>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</si>
  <si>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</si>
  <si>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</si>
  <si>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</si>
  <si>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</si>
  <si>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</si>
  <si>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</si>
  <si>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</si>
  <si>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</si>
  <si>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</si>
  <si>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</si>
  <si>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</si>
  <si>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</si>
  <si>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</si>
  <si>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</si>
  <si>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</si>
  <si>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</si>
  <si>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</si>
  <si>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</si>
  <si>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</si>
  <si>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</si>
  <si>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</si>
  <si>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</si>
  <si>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</si>
  <si>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</si>
  <si>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</si>
  <si>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</si>
  <si>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</si>
  <si>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</si>
  <si>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</si>
  <si>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</si>
  <si>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</si>
  <si>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</si>
  <si>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</si>
  <si>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</si>
  <si>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</si>
  <si>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</si>
  <si>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</si>
  <si>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</si>
  <si>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</si>
  <si>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</si>
  <si>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</si>
  <si>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</si>
  <si>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</si>
  <si>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</si>
  <si>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</si>
  <si>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</si>
  <si>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</si>
  <si>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</si>
  <si>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</si>
  <si>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</si>
  <si>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</si>
  <si>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</si>
  <si>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</si>
  <si>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</si>
  <si>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</si>
  <si>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</si>
  <si>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</si>
  <si>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</si>
  <si>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</si>
  <si>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</si>
  <si>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</si>
  <si>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</si>
  <si>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</si>
  <si>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</si>
  <si>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</si>
  <si>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</si>
  <si>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</si>
  <si>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</si>
  <si>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</si>
  <si>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</si>
  <si>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</si>
  <si>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</si>
  <si>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</si>
  <si>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</si>
  <si>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</si>
  <si>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</si>
  <si>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</si>
  <si>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</si>
  <si>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</si>
  <si>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</si>
  <si>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</si>
  <si>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</si>
  <si>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</si>
  <si>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</si>
  <si>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Vojnové hroby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</si>
  <si>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</si>
  <si>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</si>
  <si>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</si>
  <si>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</si>
  <si>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</si>
  <si>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</si>
  <si>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</si>
  <si>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</si>
  <si>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</si>
  <si>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Dotácia na rekonštrukciu Zimného štadióna Pavla Demitru</t>
  </si>
  <si>
    <t>Rekonštrukcia Zimného štadióna Pavla Demitru</t>
  </si>
  <si>
    <t>Trenčiansky futbalový klub 1939 Záblatie o.z. - dotácia na činnosť</t>
  </si>
  <si>
    <t>Skatepark</t>
  </si>
  <si>
    <t>Transfery nefinančným subjektom</t>
  </si>
  <si>
    <t>Polopodzemné kontajnery</t>
  </si>
  <si>
    <t>ŠJ HEES súkromné stravovacie zariadenie</t>
  </si>
  <si>
    <t>Sprostredkovateľsky orgán pre IROP</t>
  </si>
  <si>
    <t>Statická doprava Bavlnárska ul.</t>
  </si>
  <si>
    <t>Statická doprava ul. Veľkomoravská</t>
  </si>
  <si>
    <t>Evidencia obyvateľstva</t>
  </si>
  <si>
    <t>Matrika</t>
  </si>
  <si>
    <t>Predškolský vek</t>
  </si>
  <si>
    <t>Školstvo - prenesené kompetencie</t>
  </si>
  <si>
    <t>Rekonštrukcia plynovej kotolne na krytej plavárni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</si>
  <si>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</si>
  <si>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</si>
  <si>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</si>
  <si>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</si>
  <si>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</si>
  <si>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</si>
  <si>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</si>
  <si>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</si>
  <si>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ŠJ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</si>
  <si>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</si>
  <si>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</si>
  <si>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</si>
  <si>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</si>
  <si>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Prieskumné sondy pred realizáciou mestských komunikácií</t>
  </si>
  <si>
    <t>Priechod pre chodcov Ul.Dolné Pažite (podsvietený,nadsvietený)</t>
  </si>
  <si>
    <t>Cyklotrasa Juh-centrum - III.etapa (cintorín - kruhový objazd pod Juhom)</t>
  </si>
  <si>
    <t>Revitalizácia vnútrobloku Západná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</si>
  <si>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</si>
  <si>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</si>
  <si>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</si>
  <si>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</si>
  <si>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</si>
  <si>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</si>
  <si>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</si>
  <si>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</si>
  <si>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</si>
  <si>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</si>
  <si>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</si>
  <si>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</si>
  <si>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</si>
  <si>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</si>
  <si>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zamestnanci</t>
  </si>
  <si>
    <t>Pomoc pri starostlivosti o dieťa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</si>
  <si>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</si>
  <si>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</si>
  <si>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</si>
  <si>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stravovanie</t>
  </si>
  <si>
    <t>Za predaj výrobkov, tovarov a služieb - zaopatrenie</t>
  </si>
  <si>
    <t>Zariadenie opatrovateľske služby - 24 hod starostlivosť</t>
  </si>
  <si>
    <t>Celoročný pobyt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</si>
  <si>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</si>
  <si>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</si>
  <si>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</si>
  <si>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</si>
  <si>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</si>
  <si>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</si>
  <si>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Z predaja kapitálových aktív</t>
  </si>
  <si>
    <t>Súťaže zo ŠR</t>
  </si>
  <si>
    <t>Projekt Budovanie odborných kapacít na komunitnej úrovní na Nízkoprahové centrum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</si>
  <si>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</si>
  <si>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</si>
  <si>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</si>
  <si>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</si>
  <si>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</si>
  <si>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Kolomaž o.z. - Sám na javisku</t>
  </si>
  <si>
    <t>Pohoda Festival s.r.o. - Festival Pohoda</t>
  </si>
  <si>
    <t>Stredisko Soblahov a Brezina</t>
  </si>
  <si>
    <t>Poradensko - bytové problémy</t>
  </si>
  <si>
    <t>Úprava štruktúry MHD na Sihoti PD</t>
  </si>
  <si>
    <t>Dotácie</t>
  </si>
  <si>
    <t>Služby (KIS)</t>
  </si>
  <si>
    <t>Zabezpečenie činnosti KIC</t>
  </si>
  <si>
    <t>Úprava štruktúry MHD pri nadjazde Opatová</t>
  </si>
  <si>
    <t>Gratový program</t>
  </si>
  <si>
    <t>Realizácia stavieb a ich technickéhoo zhodnotenia</t>
  </si>
  <si>
    <t>Prípojka elektrickej energie</t>
  </si>
  <si>
    <t>Príjmy</t>
  </si>
  <si>
    <t>Výdavky</t>
  </si>
  <si>
    <t>513: Prijatie dlhodobého úveru</t>
  </si>
  <si>
    <t>821: Splácanie istiny z dlhodobých bankových úverov</t>
  </si>
  <si>
    <t>821: ŠFRB - splácanie istiny</t>
  </si>
  <si>
    <t>Tovary a služby (KP)</t>
  </si>
  <si>
    <t>Tovary a služby (INFO)</t>
  </si>
  <si>
    <t>Výmena okien</t>
  </si>
  <si>
    <t>Cyklotrasy</t>
  </si>
  <si>
    <t>Nové parkovacie miesta</t>
  </si>
  <si>
    <t>Rezerva na financovanie neštatnych školských zariadení</t>
  </si>
  <si>
    <t>TJ Družstevník Opatová - dotácia na činnosť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</si>
  <si>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</si>
  <si>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</si>
  <si>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</si>
  <si>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</si>
  <si>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</si>
  <si>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</si>
  <si>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</si>
  <si>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</si>
  <si>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</si>
  <si>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</si>
  <si>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</si>
  <si>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</si>
  <si>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</si>
  <si>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</si>
  <si>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</si>
  <si>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</si>
  <si>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</si>
  <si>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</si>
  <si>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 MŠ M.Turkovej 22</t>
  </si>
  <si>
    <t>S MŠ Janka Kráľa 14</t>
  </si>
  <si>
    <t>S MŠ Motýlik</t>
  </si>
  <si>
    <t>S MŠ Best Friends Kids Club</t>
  </si>
  <si>
    <t>C MŠ Bl.Tarzícia</t>
  </si>
  <si>
    <t>C MŠ sv. Andreja - Svorada a Benedikta</t>
  </si>
  <si>
    <t>S MŠ 2M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</si>
  <si>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</si>
  <si>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</si>
  <si>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</si>
  <si>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</si>
  <si>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</si>
  <si>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</si>
  <si>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</si>
  <si>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</si>
  <si>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</si>
  <si>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</si>
  <si>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</si>
  <si>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Priechod pre chodcov - konečná Armádna - Sibírska</t>
  </si>
  <si>
    <t>Rekonštrukcia strechy</t>
  </si>
  <si>
    <t>Revitalizácia priestoru pri KS v Záblatí</t>
  </si>
  <si>
    <t>Európske hlavné mesto kultúry 2026</t>
  </si>
  <si>
    <t>Revitalizácia ul. 1.mája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</si>
  <si>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</si>
  <si>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</si>
  <si>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</si>
  <si>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</si>
  <si>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</si>
  <si>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Riešenie parkovania v lokalite 28.októbra pri materskej škole a jasliach</t>
  </si>
  <si>
    <t>Nové triedy</t>
  </si>
  <si>
    <t>Hviezdodvor</t>
  </si>
  <si>
    <t>PROGRAM   8: ŠPORT A ODDYCH</t>
  </si>
  <si>
    <t>Program   8: ŠPORT A ODDYCH</t>
  </si>
  <si>
    <t>Program   7: VZDELÁVANIE</t>
  </si>
  <si>
    <t>Program   5: BEZPEČNOSŤ</t>
  </si>
  <si>
    <t>Evakuačný výťah</t>
  </si>
  <si>
    <t>Sociálny šatník</t>
  </si>
  <si>
    <t>Monitorovanie a signalizácia potreby pomoci</t>
  </si>
  <si>
    <t>Z činnosti CKKP Hviezda</t>
  </si>
  <si>
    <t>0721</t>
  </si>
  <si>
    <t>R O Z P O Č E T    2024</t>
  </si>
  <si>
    <t>Integrovaný dopravný systém</t>
  </si>
  <si>
    <t>Revitalizácia alúvia Orechovského potoka vrátane jeho sprístupnenia lávkou</t>
  </si>
  <si>
    <t>Dobudovanie kampusu CKKP Hviezda (Hviezdodvor) - Štúdio a námestíčko</t>
  </si>
  <si>
    <t>Revitalizácia Námestia sv. Anny</t>
  </si>
  <si>
    <t>514: 2 úvery z Environmentálneho fondu na verejné osvetlenia</t>
  </si>
  <si>
    <t>Budova MHSL m.r.o. - fotovoltika</t>
  </si>
  <si>
    <t>KS Istebník - rozšírenie materskej školy, MsP, klubu dôchodcov</t>
  </si>
  <si>
    <t>Okná</t>
  </si>
  <si>
    <t>Verejné osvetlenie Východná</t>
  </si>
  <si>
    <t>Verejné osvetlenie - rekonštrukcia</t>
  </si>
  <si>
    <t>Chodník + ostrovček na Kamenci (Vinohrady)</t>
  </si>
  <si>
    <t>Križovatka pod Juhom s napojením na nový most</t>
  </si>
  <si>
    <t>Nábrežná ulica</t>
  </si>
  <si>
    <t>Priechod pre chodcov - Legionárska CSS</t>
  </si>
  <si>
    <t>Priechod pre chodcov - Gymnázium CSS</t>
  </si>
  <si>
    <t>Priechod pre chodcov - Zimný štadión CSS</t>
  </si>
  <si>
    <t>Priechod pre chodcov - Zlatovská CSS</t>
  </si>
  <si>
    <t>Saratovská - Partizánska - prepojenie</t>
  </si>
  <si>
    <t>Ul. 28. októbra</t>
  </si>
  <si>
    <t>Fotovoltika</t>
  </si>
  <si>
    <t>Zimný štadión - fotovoltika</t>
  </si>
  <si>
    <t>Revitalizácia nám. Sv. Anny</t>
  </si>
  <si>
    <t>Revitalizácia alúvia Orechovského potoka vrátane jeho sprístupnenia lávkou z Vážskej hrádze</t>
  </si>
  <si>
    <t>Oporný múr Cintorínska ul. - 1.etapa</t>
  </si>
  <si>
    <t>Z prenájmov - Hviezda</t>
  </si>
  <si>
    <t>Za predaj výrobkov, tovarov a služieb - upratovanie, pranie, žehlenie</t>
  </si>
  <si>
    <t>Prevádzkové zariadenia KKC Hviezda</t>
  </si>
  <si>
    <t>Detašované pracoviská Denného centra Sihoť</t>
  </si>
  <si>
    <t>Rekonštrukcia nájomného bytu</t>
  </si>
  <si>
    <t>Služby (plavecký výcvik)</t>
  </si>
  <si>
    <t>Signalizácia ZPS</t>
  </si>
  <si>
    <t>Reflektomer</t>
  </si>
  <si>
    <t>Refundácia výdavkov z metodického poradenského centra</t>
  </si>
  <si>
    <t>Splácanie úrokov a ostatné platby súvisiace s úverom</t>
  </si>
  <si>
    <t>Z termínovaných vkladov</t>
  </si>
  <si>
    <t>Rekonštrukcia južnej časti múru Mestského opevnenia</t>
  </si>
  <si>
    <t>Lávka pre peších cez Lavičkový potok</t>
  </si>
  <si>
    <t>Priechod pri Merkury markete</t>
  </si>
  <si>
    <t>Revitalizácia Parku Gen. M.R.Štefánika</t>
  </si>
  <si>
    <t>Trenčiansky luh - revitalizácia Rekreačno - vzdelávacej zóny</t>
  </si>
  <si>
    <t>GRAPE AGENCY s.r.o. - Grape Festival 2023</t>
  </si>
  <si>
    <t xml:space="preserve">Park Zlatovce   </t>
  </si>
  <si>
    <t>Rekonštrukcia múru mestského opevnenia</t>
  </si>
  <si>
    <t>Schodok kapitálového rozpočtu</t>
  </si>
  <si>
    <t xml:space="preserve">Projekt POP 3 - asistenti </t>
  </si>
  <si>
    <t>Projekt Mobilities</t>
  </si>
  <si>
    <t>Projektové dokumentácie na komunikácie, chodníky, pozemné stavby</t>
  </si>
  <si>
    <t>Pontóny na Váhu</t>
  </si>
  <si>
    <t>Dopravné značenie</t>
  </si>
  <si>
    <t>Dotácie na výnimočné akcie (projekty)</t>
  </si>
  <si>
    <t>Dotácie na šport (činnosť)</t>
  </si>
  <si>
    <t>Župný dom - posudky, výskum, dokumentácia</t>
  </si>
  <si>
    <t>Nový server</t>
  </si>
  <si>
    <t>Inštitút participácie</t>
  </si>
  <si>
    <t>Manuál verejného priestranstva</t>
  </si>
  <si>
    <t>S MŠ Štvorlístok, Orechovská 14</t>
  </si>
  <si>
    <t>Regenerácia vnútrobloku Opávia na Beckovskej ulici</t>
  </si>
  <si>
    <t>Výmena asfaltového povrchu a úprava kruhového objazdu Zlatovská – Brnianska</t>
  </si>
  <si>
    <t>S MŠ Legionárska 79</t>
  </si>
  <si>
    <t>Župný dom - 1.etapa rekonštrukcie</t>
  </si>
  <si>
    <t>ZŠ Dlhé Hony - jedáleň, kuchyňa, bežecký ovál, volejbalové ihrisko</t>
  </si>
  <si>
    <t>513: Prijatie dlhodobého úveru - ČSOB a.s. 2023</t>
  </si>
  <si>
    <t>Župný dom - I.etapa rekonštrukcie</t>
  </si>
  <si>
    <t>Župný doma - posudky, výskum, dokumentácia</t>
  </si>
  <si>
    <t>Rekonštrukcia - jedáleň, kuchyňa, bežecký ovál, volejbalové ihrisko</t>
  </si>
  <si>
    <t>Dobudovani kampusu - štúdio a námestíčko</t>
  </si>
  <si>
    <t>Z predaja bytov</t>
  </si>
  <si>
    <t>Regenerácia vnútrobloku Opávia na Beckovskej ulici v Trenčíne</t>
  </si>
  <si>
    <t>Revitalizácia ulice 1.mája</t>
  </si>
  <si>
    <t>Interiéry Zelený most - ulica (Fiesta)</t>
  </si>
  <si>
    <t>Komunitné centrum Dlhé Hony</t>
  </si>
  <si>
    <t>Komunitné centrum Dlhé Hony - PD Interiér</t>
  </si>
  <si>
    <t>Komunitné centrum Dlhé Hony - vybavenie</t>
  </si>
  <si>
    <t>Zelený most - ulica (Fiesta)</t>
  </si>
  <si>
    <t>Komunitné centrum Dlhé Hony - PD interiér</t>
  </si>
  <si>
    <t>Revitalizácia Hviezdoslavovej ulice</t>
  </si>
  <si>
    <t xml:space="preserve">Revitalizácia parku Gen. M.R.Štefánika </t>
  </si>
  <si>
    <t xml:space="preserve">Zníženie en.náročnosti budovy Detských jaslí na ulici 28.októbra </t>
  </si>
  <si>
    <t xml:space="preserve">Zníženie energetickej náročnosti budovy Detských jaslí na ulici 28.októbra </t>
  </si>
  <si>
    <t xml:space="preserve">Revitalizácia parku gen. M.R.Štefánika </t>
  </si>
  <si>
    <t>Kolomaž o.z. - Klub Lúč</t>
  </si>
  <si>
    <t>Klub priateľov vážnej hudby - Hudba pod Hradom - jar, jeseň</t>
  </si>
  <si>
    <t>ZO SZV Trenčín - Včelárska nedeľa v priestoroch KS Zlatovce</t>
  </si>
  <si>
    <t>Materské centrum srdiečko - dotácia na prevádzku</t>
  </si>
  <si>
    <t>Modernizácia a rozšírenie počítačovej siete</t>
  </si>
  <si>
    <t>Verejné WC - rekonštrukcia interiéru</t>
  </si>
  <si>
    <t>Parkovisko Družba - rampový systém</t>
  </si>
  <si>
    <t>Úprava križovatky pri kostole Opatová - MHD</t>
  </si>
  <si>
    <t>Klavír</t>
  </si>
  <si>
    <t>Klimatizácia Mestská veža</t>
  </si>
  <si>
    <t>Klimatizácie</t>
  </si>
  <si>
    <t>Motorové vozidlo na prepravnú službu</t>
  </si>
  <si>
    <t xml:space="preserve">454: Prevod z rezervného fondu - Most Horné Orechové </t>
  </si>
  <si>
    <t>PROGRAM   1: MANAŽMENT A PLÁNOVANIE</t>
  </si>
  <si>
    <t>Modernizácia elektrickej požiarnej signalizácie</t>
  </si>
  <si>
    <t>Župný dom - PD rekonštrukcia elektroinštalácie, bleskozvodu a EPS</t>
  </si>
  <si>
    <t>Rekonštrukcia chodníka Považská - Žilinská ul.</t>
  </si>
  <si>
    <t>Strava pre deti - obedov zadarmo</t>
  </si>
  <si>
    <t>Kreatívny inštitút Trenčín, n.o. - príspevok na správu  a programového aktivity</t>
  </si>
  <si>
    <t xml:space="preserve">KS Dlhé Hony  </t>
  </si>
  <si>
    <t>Rekonštrukcia gumeného povrchu ihriska Žihadielko v parku pod Juhom</t>
  </si>
  <si>
    <t>Most Orechové</t>
  </si>
  <si>
    <t>Schodok/prebytok rozpočtu spolu</t>
  </si>
  <si>
    <t>Dopravno - overovacia štúdia priestorového usporiadania jestvujúcej komunikácie v časti Nozdrkove</t>
  </si>
  <si>
    <t>Nový chodník z ul. Gen. Svobodu na ul. Halalovka</t>
  </si>
  <si>
    <t>Nový priechod pre chodcov M.Bela</t>
  </si>
  <si>
    <t>Nové prepojenie Južná ulica a Halalovka</t>
  </si>
  <si>
    <t>Chodník Halalovka</t>
  </si>
  <si>
    <t>Chodník M.Bela 42-55</t>
  </si>
  <si>
    <t>Nový chodník Západná 11</t>
  </si>
  <si>
    <t>MŠ Novomeského (Halašu)</t>
  </si>
  <si>
    <t>Rekonštrukcia vonkajších spevnených plôch</t>
  </si>
  <si>
    <t>Rekonštrukcia spevnených plôch v areáli školy</t>
  </si>
  <si>
    <t>Rekonštrukcia terás</t>
  </si>
  <si>
    <t>Revitalizácia ihriska a areálu KC Aktivity</t>
  </si>
  <si>
    <t>MČ Juh - mobiliár</t>
  </si>
  <si>
    <t>Rekonštrukcia terasy materskej školy</t>
  </si>
  <si>
    <t>Rekonštrukcia chodníkov a schodísk na cintoríne Juh</t>
  </si>
  <si>
    <t>MČ Stred - chodníky</t>
  </si>
  <si>
    <t>Chodník a parkovisko ul. Inovecká 1137</t>
  </si>
  <si>
    <t>Ul. Partizánska - horná</t>
  </si>
  <si>
    <t>Výmena svetlíkov</t>
  </si>
  <si>
    <t>Vyvýšený priechod</t>
  </si>
  <si>
    <t>Nákup pozemkov pre Opatovský cintorín</t>
  </si>
  <si>
    <t>Odvodnenie pri cintoríne Opatová</t>
  </si>
  <si>
    <t>Chodník ul. Opatovská pri materskej škole</t>
  </si>
  <si>
    <t>Rekonštrukcia chodníka ku stojiskám na Hurbanovej ulici</t>
  </si>
  <si>
    <t>Rekonštrukcia ul. Gen. Goliana</t>
  </si>
  <si>
    <t>Kukučínova ul. - dolná</t>
  </si>
  <si>
    <t>Rozšírenie priestoru na poschodí</t>
  </si>
  <si>
    <t>Vnútroblok Nábrežná a Študentská</t>
  </si>
  <si>
    <t>Detské ihrisko Klementisova, Kraskova</t>
  </si>
  <si>
    <t>Cyklotrasa ul. Stárka po Brniansku - osvetlenie</t>
  </si>
  <si>
    <t>Osvetlenie spojovacieho chodníka ul. Školská a Bavlnárska</t>
  </si>
  <si>
    <t>Autobusové prístrešky Hanzlíkovská</t>
  </si>
  <si>
    <t>Parkovacie miesta ul. Orechovská od kostola po križovaku s Chotárnou</t>
  </si>
  <si>
    <t>Chodníky Hanzlíkovská  - Poľovnícka - Na dolinách</t>
  </si>
  <si>
    <t>Rekonštrukcia stupačiek</t>
  </si>
  <si>
    <t>Obnova základnej školy</t>
  </si>
  <si>
    <t>Revitalizácia vnútrobloku sídlisko Kvetná</t>
  </si>
  <si>
    <t>Nové stojiská polopodzemných kontajnerov ul. Veľkomoravská za Úspechom</t>
  </si>
  <si>
    <t>Grantový program - dofinancovanie nedočerpanej dotácie z roku 2023</t>
  </si>
  <si>
    <t>Schodolez</t>
  </si>
  <si>
    <t>Upravený rozpočet na rok 2024</t>
  </si>
  <si>
    <t>Upravený bežný rozpočet na rok 2024</t>
  </si>
  <si>
    <t>Upravený kapitálový rozpočet na rok 2024</t>
  </si>
  <si>
    <t xml:space="preserve">Fond na podporu šport - Výmena polubovej podlahy a mobilných tribún </t>
  </si>
  <si>
    <t>Prístupové chodníky ku vchodom na Kvetnej</t>
  </si>
  <si>
    <t xml:space="preserve">Chodníky na starom cestnom moste </t>
  </si>
  <si>
    <t>Rekonštrukcia prístupovej cesty</t>
  </si>
  <si>
    <t>Výmena palubovej podlahy a mobilných tribún</t>
  </si>
  <si>
    <t>Detské ihrisko Hríbik</t>
  </si>
  <si>
    <t>454: Prevod z rezervného fondu - Výmena palubovej podlahy a mobilných tribún v športovej hale</t>
  </si>
  <si>
    <t>Dávkovacia stanica do bazéna</t>
  </si>
  <si>
    <t>Projekt Budovanie mesta s prehľadným systémom investícií Hackathon</t>
  </si>
  <si>
    <t>Projekt Budovanie mesta s prehľadným systémom investícií - Hackathon</t>
  </si>
  <si>
    <t>Vlajkosláva na Brezine</t>
  </si>
  <si>
    <t>Skener</t>
  </si>
  <si>
    <t>Statický posudok 2 mostných objektov na ul. Gen.Svobodu v Trenčíne</t>
  </si>
  <si>
    <t xml:space="preserve">Príspevok za ubytovanie odídencov z Ukrajiny </t>
  </si>
  <si>
    <t>Príspevok za ubytovanie odídencov z Ukrajiny</t>
  </si>
  <si>
    <t>Kreatívny inštitút Trenčín, n.o. - príspevok na kapitálové výdavky</t>
  </si>
  <si>
    <t>Zahraničné granty</t>
  </si>
  <si>
    <t>Od zahraničného subjektu iného ako medzinárodná organizácia</t>
  </si>
  <si>
    <t>Finančné prostriedky z Finančného mechanizmu EHP a Nórskeho finančného mechanizmu</t>
  </si>
  <si>
    <t>Projekt z Finančného mechanizmu EHP (Európsky hospodársky priestor) a Nórskeho finančného mechanizmu</t>
  </si>
  <si>
    <t>Nadácia EPH (Energetický a priemyselný holding) finančný príspevok na výsadbu cibuľovín a dodávky kvetov</t>
  </si>
  <si>
    <t>Návrh na zmenu Programového rozpočtu mesta Trenčín na rok 2024</t>
  </si>
  <si>
    <t>Zmena +/-</t>
  </si>
  <si>
    <t>Rozpočet 2024</t>
  </si>
  <si>
    <t>Bežný rozpočet na rok 2024</t>
  </si>
  <si>
    <t>Kapitálový rozpočet na rok 2024</t>
  </si>
  <si>
    <t>Rozpočet na rok 2024 spolu</t>
  </si>
  <si>
    <t>SUMARIZÁCIA</t>
  </si>
  <si>
    <t>Rozpočet na rok 2024</t>
  </si>
  <si>
    <t>Digestor</t>
  </si>
  <si>
    <t>Rekonštrukcia schodov  v budove školy Opatová</t>
  </si>
  <si>
    <t>Automatická hlavica pre spracovanie zeleniny</t>
  </si>
  <si>
    <t>453: Prevod nevyčerpaných finančných prostriedkov z predchádzajúcich rokov</t>
  </si>
  <si>
    <t>Nevyčerpaná dotácia z roku 2023</t>
  </si>
  <si>
    <t>Materiálno technické zabezpečenie 60.výročia vzniku ZŠ Bezručova</t>
  </si>
  <si>
    <t>Materiálno technické zabezpečenie futbalovej akadémie FUTBAL TTS Trenčín</t>
  </si>
  <si>
    <t>Nové osvetlenie a oplotenie futbalového štadióna Trenčín - Záblatie</t>
  </si>
  <si>
    <t>Výstavba vonkajšieho altánka</t>
  </si>
  <si>
    <t>Nevyčerpané dotácie za rok 2023</t>
  </si>
  <si>
    <t>Zo štátneho účelového fondu</t>
  </si>
  <si>
    <t>Príspevok z Environmentálneho fondu</t>
  </si>
  <si>
    <t>Centrum kultúrno - kreatívneho potenciálu Hviezda</t>
  </si>
  <si>
    <t>Revitalizácia vnútrobloku Pádivec</t>
  </si>
  <si>
    <t>Revitalizácia verejného priestoru Považská</t>
  </si>
  <si>
    <t>Podpora sociálnych služieb poskytovaných v zariadení na komunitnej báze v meste Trenčín</t>
  </si>
  <si>
    <t>Zvýšenie úrovne informačnej a kybernetickej bezpečnosti mesta Trenčín</t>
  </si>
  <si>
    <t>Ul. 1. mája - projektová dokumentácia</t>
  </si>
  <si>
    <t>Štúdio a námestíčko - technika</t>
  </si>
  <si>
    <t>Doplatok straty za rok 2023</t>
  </si>
  <si>
    <t>Strecha</t>
  </si>
  <si>
    <t>Klientské centrum - vyvolávací systém</t>
  </si>
  <si>
    <t>Klientské centrum - klimatizácia</t>
  </si>
  <si>
    <t>Osobné motorové vozidlo</t>
  </si>
  <si>
    <t>Maják na auto</t>
  </si>
  <si>
    <t>Rekonštrukcia povrchu ihriska</t>
  </si>
  <si>
    <t>Rekonštrukcia povrchu oválu</t>
  </si>
  <si>
    <t>Rekonštrukcia výťahu</t>
  </si>
  <si>
    <t>Rekonštrukcia kúpeľní</t>
  </si>
  <si>
    <t>Priemyselná práčka</t>
  </si>
  <si>
    <t>Kúpeľňa pre imobilných</t>
  </si>
  <si>
    <t>453: Prevod finančných prostriedkov z podnikateľskej činnosti za rok 2023</t>
  </si>
  <si>
    <t>Dobudovani kampusu - štúdio a námestíčko - technika</t>
  </si>
  <si>
    <t>Príspevky neštátnym subjektom</t>
  </si>
  <si>
    <t>Nozdrkovce - cesta a chodníky</t>
  </si>
  <si>
    <t>Pamätník na Brezine - obnova hrobov</t>
  </si>
  <si>
    <t>Auto s plošinou</t>
  </si>
  <si>
    <t>2 zastávky na ul. M. Rázusa - rekonštrukcia</t>
  </si>
  <si>
    <t>Rekonštrukcia ul. 28..októbra - Soblahovská po Dlhé Hony</t>
  </si>
  <si>
    <t>Sihoť I. - komunikácie a chodníky</t>
  </si>
  <si>
    <t>Rekonštrukcia elektroinštalácie</t>
  </si>
  <si>
    <t>Rekonštrukcia tartanovej dráhy</t>
  </si>
  <si>
    <t>Komunikácia Ľ.Stárka od starého mosta po Piešťansku</t>
  </si>
  <si>
    <t>Mestská komunikácia J.Halašu - rekonštrukcia</t>
  </si>
  <si>
    <t>Spevnená plocha Pumptrack</t>
  </si>
  <si>
    <t>Bezbariérová plošina do sociálneho taxíka</t>
  </si>
  <si>
    <t>Vrátenie nevyčerpanej dotácie z roku 2023</t>
  </si>
  <si>
    <t>Voľby prezidenta 2024</t>
  </si>
  <si>
    <t>Origos Group s.r.o. - Detská tour Petra Sagana v Trenčíne</t>
  </si>
  <si>
    <t>Ihrisko a objekt zázemia v Parku Gen.M.R.Štefánika</t>
  </si>
  <si>
    <t>Projektová dokumentácia - Zimný štadión</t>
  </si>
  <si>
    <t>Zábradlie na prístupovom chodníku Opatovská ulica</t>
  </si>
  <si>
    <t>SHUFFLEBEAR s.r.o. - Záhradkársky veľtrh Trenčín 2024/Záhradkár - Včelár - Ľudové umelecké remeslá</t>
  </si>
  <si>
    <t>Grandvino s.r.o. - 7.ročník festivalu Víno pod hradom</t>
  </si>
  <si>
    <t>Projekt Ostrov - Gympelrock</t>
  </si>
  <si>
    <t>Za stravné v detských jasliach</t>
  </si>
  <si>
    <t>Automatický bazénový vysávač</t>
  </si>
  <si>
    <t>Projekt Making City</t>
  </si>
  <si>
    <t>Dobrovoľná požiarna ochrana - dotácia pre dobrovoľné hasičské zbory</t>
  </si>
  <si>
    <t>AK Slávia Trenčín o.z. - dotácia na činnosť</t>
  </si>
  <si>
    <t>AS Trenčín - dotácia na činnosť</t>
  </si>
  <si>
    <t>HK Dukla Trenčín n.o, - dotácia na činnosť</t>
  </si>
  <si>
    <t>Športový klub 1.FBC Trenčín o.z. - dotácia na činnosť</t>
  </si>
  <si>
    <t>Florbalový klub AS Trenčín - dotácia na činnosť</t>
  </si>
  <si>
    <t>Basketbalový klub AS Trenčín</t>
  </si>
  <si>
    <t>Hádzanársky klub AS Trenčín - dotácia na činnosť</t>
  </si>
  <si>
    <t>Vzduchotechnika</t>
  </si>
  <si>
    <t>Realizácia stojísk polopodzemných kontajnerov Sihoť, Stred</t>
  </si>
  <si>
    <t>Stojiská polopodzemných kontajnerov</t>
  </si>
  <si>
    <t>Realizácia stojísk polopodzemných kontajnerov Juh</t>
  </si>
  <si>
    <r>
      <rPr>
        <b/>
        <i/>
        <sz val="12"/>
        <rFont val="Arial"/>
        <family val="2"/>
        <charset val="238"/>
      </rPr>
      <t>CKKP Hviezda</t>
    </r>
    <r>
      <rPr>
        <b/>
        <i/>
        <strike/>
        <sz val="12"/>
        <rFont val="Arial"/>
        <family val="2"/>
        <charset val="238"/>
      </rPr>
      <t xml:space="preserve"> </t>
    </r>
  </si>
  <si>
    <t>Vratky z NFP</t>
  </si>
  <si>
    <t>Výmena okien v novšej budove MsÚ</t>
  </si>
  <si>
    <t>454: Prevod z rezervného fondu - nevyčerpané prostriedky z minulých rokov</t>
  </si>
  <si>
    <t>Stav rezervného fondu k 1.1.2024</t>
  </si>
  <si>
    <t>v EUR</t>
  </si>
  <si>
    <t>Použitie rezervného fondu v roku 2024</t>
  </si>
  <si>
    <t xml:space="preserve"> - schválený rozpočet 2024</t>
  </si>
  <si>
    <t>kapitálové výdavky, splátky úverov</t>
  </si>
  <si>
    <t>projektové dokumentácia Most Orechové</t>
  </si>
  <si>
    <t>výmena palubovej podlahy a mobilných tribún v Športovej hale na Sihoti</t>
  </si>
  <si>
    <t xml:space="preserve"> - zmena rozpočtu MsZ dňa 24.1.2024</t>
  </si>
  <si>
    <t xml:space="preserve"> - návrh na zmenu rozpočtu MsZ dňa 29.5.2024</t>
  </si>
  <si>
    <t>Stav rezervného fondu k 31.12.2024 - predpoklad</t>
  </si>
  <si>
    <t>Tvorba rezervného fondu  v roku 2024</t>
  </si>
  <si>
    <t xml:space="preserve"> - návrh rozdelenia hospodárskeho výsledku za rok 2023 - MsZ dňa 29.5.2023</t>
  </si>
  <si>
    <t xml:space="preserve">kapitálové výdavky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</si>
</sst>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6"/>
      <color indexed="9"/>
      <name val="Arial"/>
      <family val="2"/>
      <charset val="238"/>
    </font>
    <font>
      <sz val="16"/>
      <name val="Arial"/>
      <family val="2"/>
      <charset val="238"/>
    </font>
    <font>
      <b/>
      <sz val="12"/>
      <color indexed="9"/>
      <name val="Arial"/>
      <family val="2"/>
      <charset val="238"/>
    </font>
    <font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i/>
      <strike/>
      <sz val="12"/>
      <name val="Arial"/>
      <family val="2"/>
      <charset val="238"/>
    </font>
    <font>
      <strike/>
      <sz val="10"/>
      <name val="Arial"/>
      <family val="2"/>
      <charset val="238"/>
    </font>
    <font>
      <b/>
      <sz val="25"/>
      <color rgb="FF16365C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5"/>
      <color rgb="FFFF0000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sz val="20"/>
      <color rgb="FFFF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CE6F1"/>
        <bgColor rgb="FFDCE6F1"/>
      </patternFill>
    </fill>
    <fill>
      <patternFill patternType="solid">
        <fgColor rgb="FFB8CCE4"/>
        <bgColor rgb="FFB8CCE4"/>
      </patternFill>
    </fill>
    <fill>
      <patternFill patternType="solid">
        <fgColor rgb="FFEBF1DE"/>
        <bgColor rgb="FFEBF1DE"/>
      </patternFill>
    </fill>
  </fills>
  <borders count="93">
    <border>
      <left/>
      <right/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/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/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thin">
        <color rgb="FF538DD5"/>
      </left>
      <right style="thin">
        <color rgb="FF538DD5"/>
      </right>
      <top style="thin">
        <color rgb="FF538DD5"/>
      </top>
      <bottom style="thin">
        <color rgb="FF538DD5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1454817346722"/>
      </left>
      <right/>
      <top style="hair">
        <color theme="3" tint="0.39991454817346722"/>
      </top>
      <bottom/>
      <diagonal/>
    </border>
    <border>
      <left style="hair">
        <color theme="3" tint="0.39991454817346722"/>
      </left>
      <right/>
      <top/>
      <bottom/>
      <diagonal/>
    </border>
    <border>
      <left style="hair">
        <color theme="3" tint="0.39991454817346722"/>
      </left>
      <right/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/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/>
      <top style="hair">
        <color theme="3" tint="0.39988402966399123"/>
      </top>
      <bottom/>
      <diagonal/>
    </border>
    <border>
      <left style="hair">
        <color theme="3" tint="0.39988402966399123"/>
      </left>
      <right/>
      <top/>
      <bottom style="hair">
        <color theme="3" tint="0.39988402966399123"/>
      </bottom>
      <diagonal/>
    </border>
    <border>
      <left style="hair">
        <color theme="3" tint="0.39988402966399123"/>
      </left>
      <right/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/>
      <top style="hair">
        <color theme="3" tint="0.39988402966399123"/>
      </top>
      <bottom style="hair">
        <color theme="3" tint="0.39988402966399123"/>
      </bottom>
      <diagonal/>
    </border>
    <border>
      <left style="thin">
        <color rgb="FF538DD5"/>
      </left>
      <right style="thin">
        <color rgb="FF538DD5"/>
      </right>
      <top/>
      <bottom/>
      <diagonal/>
    </border>
    <border>
      <left style="thin">
        <color rgb="FF538DD5"/>
      </left>
      <right/>
      <top style="thin">
        <color rgb="FF538DD5"/>
      </top>
      <bottom style="thin">
        <color rgb="FF538DD5"/>
      </bottom>
      <diagonal/>
    </border>
    <border>
      <left/>
      <right style="thin">
        <color rgb="FF538DD5"/>
      </right>
      <top style="thin">
        <color rgb="FF538DD5"/>
      </top>
      <bottom style="thin">
        <color rgb="FF538DD5"/>
      </bottom>
      <diagonal/>
    </border>
    <border>
      <left/>
      <right style="thin">
        <color rgb="FF538DD5"/>
      </right>
      <top/>
      <bottom/>
      <diagonal/>
    </border>
    <border>
      <left style="thin">
        <color rgb="FF538DD5"/>
      </left>
      <right/>
      <top/>
      <bottom/>
      <diagonal/>
    </border>
    <border>
      <left style="thin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2" fillId="0" borderId="0"/>
  </cellStyleXfs>
  <cellXfs count="486">
    <xf numFmtId="0" fontId="0" fillId="0" borderId="0" xfId="0"/>
    <xf numFmtId="0" fontId="2" fillId="0" borderId="0" xfId="0" applyFont="1"/>
    <xf numFmtId="0" fontId="6" fillId="0" borderId="0" xfId="0" applyFont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3" fontId="6" fillId="0" borderId="7" xfId="0" applyNumberFormat="1" applyFont="1" applyBorder="1"/>
    <xf numFmtId="0" fontId="6" fillId="0" borderId="7" xfId="0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7" fillId="0" borderId="5" xfId="0" applyFont="1" applyBorder="1" applyAlignment="1">
      <alignment horizontal="center"/>
    </xf>
    <xf numFmtId="0" fontId="8" fillId="0" borderId="5" xfId="0" applyFont="1" applyBorder="1"/>
    <xf numFmtId="3" fontId="2" fillId="0" borderId="0" xfId="0" applyNumberFormat="1" applyFont="1"/>
    <xf numFmtId="3" fontId="10" fillId="27" borderId="70" xfId="0" applyNumberFormat="1" applyFont="1" applyFill="1" applyBorder="1" applyAlignment="1">
      <alignment horizontal="center" vertical="center" wrapText="1"/>
    </xf>
    <xf numFmtId="3" fontId="10" fillId="0" borderId="86" xfId="0" applyNumberFormat="1" applyFont="1" applyBorder="1" applyAlignment="1">
      <alignment horizontal="center" vertical="center" wrapText="1"/>
    </xf>
    <xf numFmtId="3" fontId="10" fillId="27" borderId="85" xfId="0" applyNumberFormat="1" applyFont="1" applyFill="1" applyBorder="1" applyAlignment="1">
      <alignment horizontal="center" vertical="center" wrapText="1"/>
    </xf>
    <xf numFmtId="3" fontId="10" fillId="27" borderId="84" xfId="0" applyNumberFormat="1" applyFont="1" applyFill="1" applyBorder="1" applyAlignment="1">
      <alignment horizontal="center" vertical="center" wrapText="1"/>
    </xf>
    <xf numFmtId="3" fontId="10" fillId="0" borderId="87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2" fillId="0" borderId="23" xfId="0" applyNumberFormat="1" applyFont="1" applyBorder="1"/>
    <xf numFmtId="3" fontId="2" fillId="0" borderId="24" xfId="0" applyNumberFormat="1" applyFont="1" applyBorder="1"/>
    <xf numFmtId="3" fontId="1" fillId="0" borderId="24" xfId="0" applyNumberFormat="1" applyFont="1" applyBorder="1"/>
    <xf numFmtId="3" fontId="1" fillId="0" borderId="23" xfId="0" applyNumberFormat="1" applyFont="1" applyBorder="1" applyAlignment="1">
      <alignment horizontal="center"/>
    </xf>
    <xf numFmtId="3" fontId="11" fillId="20" borderId="24" xfId="0" applyNumberFormat="1" applyFont="1" applyFill="1" applyBorder="1"/>
    <xf numFmtId="3" fontId="11" fillId="22" borderId="24" xfId="0" applyNumberFormat="1" applyFont="1" applyFill="1" applyBorder="1"/>
    <xf numFmtId="3" fontId="12" fillId="0" borderId="0" xfId="0" applyNumberFormat="1" applyFont="1"/>
    <xf numFmtId="3" fontId="8" fillId="0" borderId="24" xfId="0" applyNumberFormat="1" applyFont="1" applyBorder="1"/>
    <xf numFmtId="3" fontId="13" fillId="0" borderId="24" xfId="0" applyNumberFormat="1" applyFont="1" applyBorder="1"/>
    <xf numFmtId="3" fontId="1" fillId="0" borderId="23" xfId="0" applyNumberFormat="1" applyFont="1" applyBorder="1" applyAlignment="1">
      <alignment horizontal="center" vertical="center"/>
    </xf>
    <xf numFmtId="3" fontId="11" fillId="20" borderId="24" xfId="0" applyNumberFormat="1" applyFont="1" applyFill="1" applyBorder="1" applyAlignment="1">
      <alignment vertical="center"/>
    </xf>
    <xf numFmtId="3" fontId="11" fillId="22" borderId="24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3" fontId="1" fillId="0" borderId="26" xfId="0" applyNumberFormat="1" applyFont="1" applyBorder="1" applyAlignment="1">
      <alignment horizontal="center" vertical="center"/>
    </xf>
    <xf numFmtId="3" fontId="11" fillId="20" borderId="27" xfId="0" applyNumberFormat="1" applyFont="1" applyFill="1" applyBorder="1" applyAlignment="1">
      <alignment vertical="center"/>
    </xf>
    <xf numFmtId="3" fontId="11" fillId="22" borderId="27" xfId="0" applyNumberFormat="1" applyFont="1" applyFill="1" applyBorder="1" applyAlignment="1">
      <alignment vertical="center"/>
    </xf>
    <xf numFmtId="3" fontId="12" fillId="19" borderId="24" xfId="0" applyNumberFormat="1" applyFont="1" applyFill="1" applyBorder="1"/>
    <xf numFmtId="3" fontId="15" fillId="19" borderId="24" xfId="0" applyNumberFormat="1" applyFont="1" applyFill="1" applyBorder="1"/>
    <xf numFmtId="3" fontId="15" fillId="0" borderId="24" xfId="0" applyNumberFormat="1" applyFont="1" applyBorder="1"/>
    <xf numFmtId="3" fontId="8" fillId="2" borderId="34" xfId="0" applyNumberFormat="1" applyFont="1" applyFill="1" applyBorder="1"/>
    <xf numFmtId="3" fontId="8" fillId="0" borderId="35" xfId="0" applyNumberFormat="1" applyFont="1" applyBorder="1"/>
    <xf numFmtId="3" fontId="8" fillId="0" borderId="0" xfId="0" applyNumberFormat="1" applyFont="1"/>
    <xf numFmtId="3" fontId="8" fillId="2" borderId="35" xfId="0" applyNumberFormat="1" applyFont="1" applyFill="1" applyBorder="1"/>
    <xf numFmtId="3" fontId="12" fillId="7" borderId="27" xfId="0" applyNumberFormat="1" applyFont="1" applyFill="1" applyBorder="1" applyAlignment="1">
      <alignment vertical="center"/>
    </xf>
    <xf numFmtId="3" fontId="11" fillId="21" borderId="27" xfId="0" applyNumberFormat="1" applyFont="1" applyFill="1" applyBorder="1" applyAlignment="1">
      <alignment vertical="center"/>
    </xf>
    <xf numFmtId="3" fontId="2" fillId="10" borderId="0" xfId="0" applyNumberFormat="1" applyFont="1" applyFill="1"/>
    <xf numFmtId="3" fontId="16" fillId="10" borderId="0" xfId="0" applyNumberFormat="1" applyFont="1" applyFill="1"/>
    <xf numFmtId="0" fontId="1" fillId="0" borderId="1" xfId="0" applyFont="1" applyBorder="1" applyAlignment="1">
      <alignment horizontal="center" vertical="center"/>
    </xf>
    <xf numFmtId="3" fontId="22" fillId="3" borderId="5" xfId="0" applyNumberFormat="1" applyFont="1" applyFill="1" applyBorder="1" applyAlignment="1">
      <alignment vertical="center"/>
    </xf>
    <xf numFmtId="3" fontId="22" fillId="3" borderId="20" xfId="0" applyNumberFormat="1" applyFont="1" applyFill="1" applyBorder="1" applyAlignment="1">
      <alignment vertical="center"/>
    </xf>
    <xf numFmtId="0" fontId="14" fillId="4" borderId="5" xfId="0" applyFont="1" applyFill="1" applyBorder="1"/>
    <xf numFmtId="3" fontId="14" fillId="4" borderId="5" xfId="0" applyNumberFormat="1" applyFont="1" applyFill="1" applyBorder="1"/>
    <xf numFmtId="3" fontId="14" fillId="0" borderId="5" xfId="0" applyNumberFormat="1" applyFont="1" applyBorder="1"/>
    <xf numFmtId="3" fontId="14" fillId="10" borderId="21" xfId="0" applyNumberFormat="1" applyFont="1" applyFill="1" applyBorder="1"/>
    <xf numFmtId="3" fontId="14" fillId="4" borderId="20" xfId="0" applyNumberFormat="1" applyFont="1" applyFill="1" applyBorder="1" applyAlignment="1">
      <alignment horizontal="right"/>
    </xf>
    <xf numFmtId="0" fontId="11" fillId="14" borderId="5" xfId="0" applyFont="1" applyFill="1" applyBorder="1"/>
    <xf numFmtId="3" fontId="11" fillId="14" borderId="5" xfId="0" applyNumberFormat="1" applyFont="1" applyFill="1" applyBorder="1"/>
    <xf numFmtId="3" fontId="11" fillId="0" borderId="5" xfId="0" applyNumberFormat="1" applyFont="1" applyBorder="1"/>
    <xf numFmtId="3" fontId="11" fillId="10" borderId="21" xfId="0" applyNumberFormat="1" applyFont="1" applyFill="1" applyBorder="1"/>
    <xf numFmtId="3" fontId="11" fillId="14" borderId="20" xfId="0" applyNumberFormat="1" applyFont="1" applyFill="1" applyBorder="1"/>
    <xf numFmtId="49" fontId="5" fillId="0" borderId="5" xfId="0" applyNumberFormat="1" applyFont="1" applyBorder="1" applyAlignment="1">
      <alignment horizontal="center"/>
    </xf>
    <xf numFmtId="3" fontId="5" fillId="0" borderId="5" xfId="0" applyNumberFormat="1" applyFont="1" applyBorder="1"/>
    <xf numFmtId="3" fontId="5" fillId="10" borderId="21" xfId="0" applyNumberFormat="1" applyFont="1" applyFill="1" applyBorder="1"/>
    <xf numFmtId="3" fontId="5" fillId="0" borderId="20" xfId="0" applyNumberFormat="1" applyFont="1" applyBorder="1"/>
    <xf numFmtId="49" fontId="6" fillId="0" borderId="5" xfId="0" applyNumberFormat="1" applyFont="1" applyBorder="1" applyAlignment="1">
      <alignment horizontal="center"/>
    </xf>
    <xf numFmtId="3" fontId="6" fillId="0" borderId="5" xfId="0" applyNumberFormat="1" applyFont="1" applyBorder="1"/>
    <xf numFmtId="3" fontId="6" fillId="10" borderId="21" xfId="0" applyNumberFormat="1" applyFont="1" applyFill="1" applyBorder="1"/>
    <xf numFmtId="3" fontId="6" fillId="0" borderId="20" xfId="0" applyNumberFormat="1" applyFont="1" applyBorder="1"/>
    <xf numFmtId="0" fontId="11" fillId="15" borderId="5" xfId="0" applyFont="1" applyFill="1" applyBorder="1"/>
    <xf numFmtId="3" fontId="11" fillId="15" borderId="5" xfId="0" applyNumberFormat="1" applyFont="1" applyFill="1" applyBorder="1"/>
    <xf numFmtId="3" fontId="11" fillId="15" borderId="20" xfId="0" applyNumberFormat="1" applyFont="1" applyFill="1" applyBorder="1"/>
    <xf numFmtId="3" fontId="14" fillId="4" borderId="20" xfId="0" applyNumberFormat="1" applyFont="1" applyFill="1" applyBorder="1"/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/>
    </xf>
    <xf numFmtId="3" fontId="8" fillId="10" borderId="21" xfId="0" applyNumberFormat="1" applyFont="1" applyFill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6" fillId="0" borderId="20" xfId="0" applyNumberFormat="1" applyFont="1" applyBorder="1" applyAlignment="1">
      <alignment vertical="center"/>
    </xf>
    <xf numFmtId="0" fontId="7" fillId="0" borderId="5" xfId="0" applyFont="1" applyBorder="1"/>
    <xf numFmtId="0" fontId="8" fillId="0" borderId="5" xfId="0" applyFont="1" applyBorder="1" applyAlignment="1">
      <alignment horizontal="center"/>
    </xf>
    <xf numFmtId="3" fontId="8" fillId="0" borderId="5" xfId="0" applyNumberFormat="1" applyFont="1" applyBorder="1"/>
    <xf numFmtId="3" fontId="8" fillId="10" borderId="21" xfId="0" applyNumberFormat="1" applyFont="1" applyFill="1" applyBorder="1"/>
    <xf numFmtId="3" fontId="8" fillId="0" borderId="20" xfId="0" applyNumberFormat="1" applyFont="1" applyBorder="1"/>
    <xf numFmtId="0" fontId="7" fillId="0" borderId="38" xfId="0" applyFont="1" applyBorder="1"/>
    <xf numFmtId="0" fontId="8" fillId="0" borderId="38" xfId="0" applyFont="1" applyBorder="1" applyAlignment="1">
      <alignment horizontal="center"/>
    </xf>
    <xf numFmtId="0" fontId="8" fillId="0" borderId="38" xfId="0" applyFont="1" applyBorder="1"/>
    <xf numFmtId="3" fontId="8" fillId="0" borderId="38" xfId="0" applyNumberFormat="1" applyFont="1" applyBorder="1"/>
    <xf numFmtId="3" fontId="8" fillId="10" borderId="71" xfId="0" applyNumberFormat="1" applyFont="1" applyFill="1" applyBorder="1"/>
    <xf numFmtId="3" fontId="8" fillId="0" borderId="49" xfId="0" applyNumberFormat="1" applyFont="1" applyBorder="1"/>
    <xf numFmtId="0" fontId="14" fillId="4" borderId="47" xfId="0" applyFont="1" applyFill="1" applyBorder="1"/>
    <xf numFmtId="3" fontId="14" fillId="4" borderId="4" xfId="0" applyNumberFormat="1" applyFont="1" applyFill="1" applyBorder="1"/>
    <xf numFmtId="3" fontId="14" fillId="0" borderId="4" xfId="0" applyNumberFormat="1" applyFont="1" applyBorder="1"/>
    <xf numFmtId="3" fontId="14" fillId="10" borderId="47" xfId="0" applyNumberFormat="1" applyFont="1" applyFill="1" applyBorder="1"/>
    <xf numFmtId="3" fontId="14" fillId="4" borderId="48" xfId="0" applyNumberFormat="1" applyFont="1" applyFill="1" applyBorder="1"/>
    <xf numFmtId="0" fontId="14" fillId="4" borderId="21" xfId="0" applyFont="1" applyFill="1" applyBorder="1"/>
    <xf numFmtId="0" fontId="14" fillId="4" borderId="19" xfId="0" applyFont="1" applyFill="1" applyBorder="1"/>
    <xf numFmtId="3" fontId="14" fillId="4" borderId="19" xfId="0" applyNumberFormat="1" applyFont="1" applyFill="1" applyBorder="1"/>
    <xf numFmtId="3" fontId="14" fillId="0" borderId="19" xfId="0" applyNumberFormat="1" applyFont="1" applyBorder="1"/>
    <xf numFmtId="3" fontId="14" fillId="10" borderId="72" xfId="0" applyNumberFormat="1" applyFont="1" applyFill="1" applyBorder="1"/>
    <xf numFmtId="3" fontId="14" fillId="4" borderId="22" xfId="0" applyNumberFormat="1" applyFont="1" applyFill="1" applyBorder="1"/>
    <xf numFmtId="0" fontId="15" fillId="0" borderId="0" xfId="0" applyFont="1"/>
    <xf numFmtId="0" fontId="7" fillId="0" borderId="19" xfId="0" applyFont="1" applyBorder="1"/>
    <xf numFmtId="0" fontId="7" fillId="0" borderId="19" xfId="0" applyFont="1" applyBorder="1" applyAlignment="1">
      <alignment horizontal="center"/>
    </xf>
    <xf numFmtId="3" fontId="7" fillId="0" borderId="19" xfId="0" applyNumberFormat="1" applyFont="1" applyBorder="1"/>
    <xf numFmtId="3" fontId="7" fillId="10" borderId="72" xfId="0" applyNumberFormat="1" applyFont="1" applyFill="1" applyBorder="1"/>
    <xf numFmtId="3" fontId="7" fillId="0" borderId="22" xfId="0" applyNumberFormat="1" applyFont="1" applyBorder="1"/>
    <xf numFmtId="0" fontId="5" fillId="0" borderId="5" xfId="0" applyFont="1" applyBorder="1" applyAlignment="1">
      <alignment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3" fontId="5" fillId="0" borderId="5" xfId="0" applyNumberFormat="1" applyFont="1" applyBorder="1" applyAlignment="1">
      <alignment vertical="center"/>
    </xf>
    <xf numFmtId="3" fontId="5" fillId="10" borderId="21" xfId="0" applyNumberFormat="1" applyFont="1" applyFill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" fillId="0" borderId="69" xfId="0" applyFont="1" applyBorder="1" applyAlignment="1">
      <alignment horizontal="center" vertical="center"/>
    </xf>
    <xf numFmtId="0" fontId="6" fillId="0" borderId="32" xfId="0" applyFont="1" applyBorder="1"/>
    <xf numFmtId="49" fontId="6" fillId="0" borderId="32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3" fontId="6" fillId="0" borderId="32" xfId="0" applyNumberFormat="1" applyFont="1" applyBorder="1"/>
    <xf numFmtId="3" fontId="6" fillId="10" borderId="73" xfId="0" applyNumberFormat="1" applyFont="1" applyFill="1" applyBorder="1"/>
    <xf numFmtId="3" fontId="6" fillId="0" borderId="33" xfId="0" applyNumberFormat="1" applyFont="1" applyBorder="1"/>
    <xf numFmtId="0" fontId="1" fillId="0" borderId="23" xfId="0" applyFont="1" applyBorder="1" applyAlignment="1">
      <alignment horizontal="center" vertical="center"/>
    </xf>
    <xf numFmtId="3" fontId="22" fillId="3" borderId="24" xfId="0" applyNumberFormat="1" applyFont="1" applyFill="1" applyBorder="1" applyAlignment="1">
      <alignment vertical="center"/>
    </xf>
    <xf numFmtId="3" fontId="22" fillId="3" borderId="25" xfId="0" applyNumberFormat="1" applyFont="1" applyFill="1" applyBorder="1" applyAlignment="1">
      <alignment vertical="center"/>
    </xf>
    <xf numFmtId="0" fontId="14" fillId="4" borderId="24" xfId="0" applyFont="1" applyFill="1" applyBorder="1"/>
    <xf numFmtId="3" fontId="14" fillId="4" borderId="24" xfId="0" applyNumberFormat="1" applyFont="1" applyFill="1" applyBorder="1"/>
    <xf numFmtId="3" fontId="14" fillId="0" borderId="24" xfId="0" applyNumberFormat="1" applyFont="1" applyBorder="1"/>
    <xf numFmtId="3" fontId="14" fillId="10" borderId="34" xfId="0" applyNumberFormat="1" applyFont="1" applyFill="1" applyBorder="1"/>
    <xf numFmtId="3" fontId="14" fillId="4" borderId="25" xfId="0" applyNumberFormat="1" applyFont="1" applyFill="1" applyBorder="1"/>
    <xf numFmtId="0" fontId="5" fillId="0" borderId="24" xfId="0" applyFont="1" applyBorder="1"/>
    <xf numFmtId="49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3" fontId="5" fillId="0" borderId="24" xfId="0" applyNumberFormat="1" applyFont="1" applyBorder="1"/>
    <xf numFmtId="3" fontId="5" fillId="10" borderId="34" xfId="0" applyNumberFormat="1" applyFont="1" applyFill="1" applyBorder="1"/>
    <xf numFmtId="3" fontId="5" fillId="0" borderId="25" xfId="0" applyNumberFormat="1" applyFont="1" applyBorder="1"/>
    <xf numFmtId="0" fontId="6" fillId="0" borderId="24" xfId="0" applyFont="1" applyBorder="1"/>
    <xf numFmtId="49" fontId="6" fillId="0" borderId="24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3" fontId="6" fillId="0" borderId="24" xfId="0" applyNumberFormat="1" applyFont="1" applyBorder="1"/>
    <xf numFmtId="3" fontId="6" fillId="10" borderId="34" xfId="0" applyNumberFormat="1" applyFont="1" applyFill="1" applyBorder="1"/>
    <xf numFmtId="3" fontId="6" fillId="0" borderId="25" xfId="0" applyNumberFormat="1" applyFont="1" applyBorder="1"/>
    <xf numFmtId="0" fontId="11" fillId="16" borderId="24" xfId="0" applyFont="1" applyFill="1" applyBorder="1"/>
    <xf numFmtId="0" fontId="11" fillId="16" borderId="24" xfId="0" applyFont="1" applyFill="1" applyBorder="1" applyAlignment="1">
      <alignment horizontal="center"/>
    </xf>
    <xf numFmtId="3" fontId="11" fillId="16" borderId="24" xfId="0" applyNumberFormat="1" applyFont="1" applyFill="1" applyBorder="1"/>
    <xf numFmtId="3" fontId="11" fillId="0" borderId="24" xfId="0" applyNumberFormat="1" applyFont="1" applyBorder="1"/>
    <xf numFmtId="3" fontId="11" fillId="10" borderId="34" xfId="0" applyNumberFormat="1" applyFont="1" applyFill="1" applyBorder="1"/>
    <xf numFmtId="3" fontId="11" fillId="16" borderId="25" xfId="0" applyNumberFormat="1" applyFont="1" applyFill="1" applyBorder="1"/>
    <xf numFmtId="0" fontId="8" fillId="0" borderId="24" xfId="0" applyFont="1" applyBorder="1"/>
    <xf numFmtId="49" fontId="8" fillId="0" borderId="24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3" fontId="8" fillId="10" borderId="34" xfId="0" applyNumberFormat="1" applyFont="1" applyFill="1" applyBorder="1"/>
    <xf numFmtId="3" fontId="8" fillId="0" borderId="25" xfId="0" applyNumberFormat="1" applyFont="1" applyBorder="1"/>
    <xf numFmtId="0" fontId="11" fillId="5" borderId="24" xfId="0" applyFont="1" applyFill="1" applyBorder="1"/>
    <xf numFmtId="0" fontId="11" fillId="5" borderId="24" xfId="0" applyFont="1" applyFill="1" applyBorder="1" applyAlignment="1">
      <alignment horizontal="center"/>
    </xf>
    <xf numFmtId="3" fontId="11" fillId="5" borderId="24" xfId="0" applyNumberFormat="1" applyFont="1" applyFill="1" applyBorder="1"/>
    <xf numFmtId="3" fontId="11" fillId="5" borderId="25" xfId="0" applyNumberFormat="1" applyFont="1" applyFill="1" applyBorder="1"/>
    <xf numFmtId="0" fontId="6" fillId="0" borderId="27" xfId="0" applyFont="1" applyBorder="1"/>
    <xf numFmtId="49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3" fontId="6" fillId="0" borderId="27" xfId="0" applyNumberFormat="1" applyFont="1" applyBorder="1"/>
    <xf numFmtId="3" fontId="6" fillId="10" borderId="74" xfId="0" applyNumberFormat="1" applyFont="1" applyFill="1" applyBorder="1"/>
    <xf numFmtId="3" fontId="6" fillId="0" borderId="28" xfId="0" applyNumberFormat="1" applyFont="1" applyBorder="1"/>
    <xf numFmtId="0" fontId="23" fillId="0" borderId="0" xfId="0" applyFont="1"/>
    <xf numFmtId="0" fontId="7" fillId="0" borderId="24" xfId="0" applyFont="1" applyBorder="1"/>
    <xf numFmtId="0" fontId="11" fillId="5" borderId="5" xfId="0" applyFont="1" applyFill="1" applyBorder="1"/>
    <xf numFmtId="0" fontId="11" fillId="5" borderId="5" xfId="0" applyFont="1" applyFill="1" applyBorder="1" applyAlignment="1">
      <alignment horizontal="center"/>
    </xf>
    <xf numFmtId="3" fontId="11" fillId="5" borderId="5" xfId="0" applyNumberFormat="1" applyFont="1" applyFill="1" applyBorder="1"/>
    <xf numFmtId="3" fontId="11" fillId="5" borderId="20" xfId="0" applyNumberFormat="1" applyFont="1" applyFill="1" applyBorder="1"/>
    <xf numFmtId="0" fontId="6" fillId="17" borderId="5" xfId="0" applyFont="1" applyFill="1" applyBorder="1"/>
    <xf numFmtId="49" fontId="6" fillId="17" borderId="5" xfId="0" applyNumberFormat="1" applyFont="1" applyFill="1" applyBorder="1" applyAlignment="1">
      <alignment horizontal="center"/>
    </xf>
    <xf numFmtId="0" fontId="6" fillId="17" borderId="5" xfId="0" applyFont="1" applyFill="1" applyBorder="1" applyAlignment="1">
      <alignment horizontal="center"/>
    </xf>
    <xf numFmtId="3" fontId="6" fillId="17" borderId="5" xfId="0" applyNumberFormat="1" applyFont="1" applyFill="1" applyBorder="1"/>
    <xf numFmtId="3" fontId="6" fillId="17" borderId="20" xfId="0" applyNumberFormat="1" applyFont="1" applyFill="1" applyBorder="1"/>
    <xf numFmtId="3" fontId="8" fillId="10" borderId="5" xfId="0" applyNumberFormat="1" applyFont="1" applyFill="1" applyBorder="1"/>
    <xf numFmtId="3" fontId="6" fillId="10" borderId="5" xfId="0" applyNumberFormat="1" applyFont="1" applyFill="1" applyBorder="1"/>
    <xf numFmtId="0" fontId="8" fillId="0" borderId="13" xfId="0" applyFont="1" applyBorder="1" applyAlignment="1">
      <alignment horizontal="center" vertical="center"/>
    </xf>
    <xf numFmtId="0" fontId="8" fillId="10" borderId="7" xfId="0" applyFont="1" applyFill="1" applyBorder="1" applyAlignment="1">
      <alignment vertical="center" wrapText="1"/>
    </xf>
    <xf numFmtId="3" fontId="8" fillId="0" borderId="50" xfId="0" applyNumberFormat="1" applyFont="1" applyBorder="1" applyAlignment="1">
      <alignment vertical="center"/>
    </xf>
    <xf numFmtId="3" fontId="8" fillId="10" borderId="5" xfId="0" applyNumberFormat="1" applyFont="1" applyFill="1" applyBorder="1" applyAlignment="1">
      <alignment vertical="center"/>
    </xf>
    <xf numFmtId="0" fontId="8" fillId="0" borderId="76" xfId="0" applyFont="1" applyBorder="1" applyAlignment="1">
      <alignment horizontal="center" vertical="center"/>
    </xf>
    <xf numFmtId="0" fontId="8" fillId="10" borderId="0" xfId="0" applyFont="1" applyFill="1" applyAlignment="1">
      <alignment vertical="center" wrapText="1"/>
    </xf>
    <xf numFmtId="3" fontId="8" fillId="0" borderId="91" xfId="0" applyNumberFormat="1" applyFont="1" applyBorder="1" applyAlignment="1">
      <alignment vertical="center"/>
    </xf>
    <xf numFmtId="0" fontId="5" fillId="6" borderId="5" xfId="0" applyFont="1" applyFill="1" applyBorder="1"/>
    <xf numFmtId="0" fontId="5" fillId="6" borderId="5" xfId="0" applyFont="1" applyFill="1" applyBorder="1" applyAlignment="1">
      <alignment horizontal="center"/>
    </xf>
    <xf numFmtId="3" fontId="5" fillId="6" borderId="5" xfId="0" applyNumberFormat="1" applyFont="1" applyFill="1" applyBorder="1"/>
    <xf numFmtId="3" fontId="5" fillId="6" borderId="20" xfId="0" applyNumberFormat="1" applyFont="1" applyFill="1" applyBorder="1"/>
    <xf numFmtId="49" fontId="8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24" fillId="0" borderId="5" xfId="0" applyFont="1" applyBorder="1"/>
    <xf numFmtId="0" fontId="5" fillId="18" borderId="5" xfId="0" applyFont="1" applyFill="1" applyBorder="1"/>
    <xf numFmtId="49" fontId="5" fillId="18" borderId="5" xfId="0" applyNumberFormat="1" applyFont="1" applyFill="1" applyBorder="1" applyAlignment="1">
      <alignment horizontal="center"/>
    </xf>
    <xf numFmtId="0" fontId="5" fillId="18" borderId="5" xfId="0" applyFont="1" applyFill="1" applyBorder="1" applyAlignment="1">
      <alignment horizontal="center"/>
    </xf>
    <xf numFmtId="3" fontId="5" fillId="18" borderId="5" xfId="0" applyNumberFormat="1" applyFont="1" applyFill="1" applyBorder="1"/>
    <xf numFmtId="3" fontId="5" fillId="18" borderId="20" xfId="0" applyNumberFormat="1" applyFont="1" applyFill="1" applyBorder="1"/>
    <xf numFmtId="0" fontId="6" fillId="0" borderId="5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vertical="center"/>
    </xf>
    <xf numFmtId="3" fontId="6" fillId="10" borderId="21" xfId="0" applyNumberFormat="1" applyFont="1" applyFill="1" applyBorder="1" applyAlignment="1">
      <alignment vertical="center"/>
    </xf>
    <xf numFmtId="0" fontId="6" fillId="0" borderId="17" xfId="0" applyFont="1" applyBorder="1"/>
    <xf numFmtId="49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3" fontId="6" fillId="0" borderId="17" xfId="0" applyNumberFormat="1" applyFont="1" applyBorder="1"/>
    <xf numFmtId="0" fontId="5" fillId="0" borderId="39" xfId="0" applyFont="1" applyBorder="1"/>
    <xf numFmtId="49" fontId="5" fillId="0" borderId="39" xfId="0" applyNumberFormat="1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3" fontId="5" fillId="0" borderId="39" xfId="0" applyNumberFormat="1" applyFont="1" applyBorder="1"/>
    <xf numFmtId="3" fontId="5" fillId="10" borderId="75" xfId="0" applyNumberFormat="1" applyFont="1" applyFill="1" applyBorder="1"/>
    <xf numFmtId="3" fontId="5" fillId="0" borderId="29" xfId="0" applyNumberFormat="1" applyFont="1" applyBorder="1"/>
    <xf numFmtId="3" fontId="7" fillId="0" borderId="5" xfId="0" applyNumberFormat="1" applyFont="1" applyBorder="1"/>
    <xf numFmtId="0" fontId="7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3" fontId="7" fillId="10" borderId="21" xfId="0" applyNumberFormat="1" applyFont="1" applyFill="1" applyBorder="1"/>
    <xf numFmtId="3" fontId="7" fillId="0" borderId="20" xfId="0" applyNumberFormat="1" applyFont="1" applyBorder="1"/>
    <xf numFmtId="3" fontId="7" fillId="0" borderId="20" xfId="0" applyNumberFormat="1" applyFont="1" applyBorder="1" applyAlignment="1">
      <alignment vertical="center"/>
    </xf>
    <xf numFmtId="3" fontId="5" fillId="0" borderId="0" xfId="0" applyNumberFormat="1" applyFont="1"/>
    <xf numFmtId="0" fontId="6" fillId="10" borderId="5" xfId="0" applyFont="1" applyFill="1" applyBorder="1" applyAlignment="1">
      <alignment horizontal="center"/>
    </xf>
    <xf numFmtId="0" fontId="6" fillId="10" borderId="5" xfId="0" applyFont="1" applyFill="1" applyBorder="1"/>
    <xf numFmtId="3" fontId="6" fillId="10" borderId="44" xfId="0" applyNumberFormat="1" applyFont="1" applyFill="1" applyBorder="1"/>
    <xf numFmtId="3" fontId="6" fillId="10" borderId="20" xfId="0" applyNumberFormat="1" applyFont="1" applyFill="1" applyBorder="1"/>
    <xf numFmtId="3" fontId="8" fillId="0" borderId="36" xfId="0" applyNumberFormat="1" applyFont="1" applyBorder="1"/>
    <xf numFmtId="3" fontId="8" fillId="0" borderId="39" xfId="0" applyNumberFormat="1" applyFont="1" applyBorder="1"/>
    <xf numFmtId="3" fontId="6" fillId="0" borderId="39" xfId="0" applyNumberFormat="1" applyFont="1" applyBorder="1"/>
    <xf numFmtId="0" fontId="7" fillId="0" borderId="39" xfId="0" applyFont="1" applyBorder="1"/>
    <xf numFmtId="0" fontId="7" fillId="0" borderId="39" xfId="0" applyFont="1" applyBorder="1" applyAlignment="1">
      <alignment horizontal="center"/>
    </xf>
    <xf numFmtId="3" fontId="8" fillId="10" borderId="76" xfId="0" applyNumberFormat="1" applyFont="1" applyFill="1" applyBorder="1"/>
    <xf numFmtId="3" fontId="7" fillId="0" borderId="37" xfId="0" applyNumberFormat="1" applyFont="1" applyBorder="1"/>
    <xf numFmtId="0" fontId="14" fillId="4" borderId="39" xfId="0" applyFont="1" applyFill="1" applyBorder="1"/>
    <xf numFmtId="3" fontId="14" fillId="4" borderId="39" xfId="0" applyNumberFormat="1" applyFont="1" applyFill="1" applyBorder="1"/>
    <xf numFmtId="3" fontId="14" fillId="0" borderId="39" xfId="0" applyNumberFormat="1" applyFont="1" applyBorder="1"/>
    <xf numFmtId="3" fontId="14" fillId="10" borderId="77" xfId="0" applyNumberFormat="1" applyFont="1" applyFill="1" applyBorder="1"/>
    <xf numFmtId="3" fontId="14" fillId="4" borderId="31" xfId="0" applyNumberFormat="1" applyFont="1" applyFill="1" applyBorder="1"/>
    <xf numFmtId="0" fontId="5" fillId="0" borderId="13" xfId="0" applyFont="1" applyBorder="1"/>
    <xf numFmtId="0" fontId="5" fillId="0" borderId="7" xfId="0" applyFont="1" applyBorder="1"/>
    <xf numFmtId="49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5" fillId="0" borderId="7" xfId="0" applyNumberFormat="1" applyFont="1" applyBorder="1"/>
    <xf numFmtId="3" fontId="6" fillId="10" borderId="78" xfId="0" applyNumberFormat="1" applyFont="1" applyFill="1" applyBorder="1"/>
    <xf numFmtId="3" fontId="5" fillId="0" borderId="53" xfId="0" applyNumberFormat="1" applyFont="1" applyBorder="1"/>
    <xf numFmtId="0" fontId="5" fillId="0" borderId="1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3" fontId="8" fillId="10" borderId="79" xfId="0" applyNumberFormat="1" applyFont="1" applyFill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0" fontId="8" fillId="0" borderId="7" xfId="0" applyFont="1" applyBorder="1"/>
    <xf numFmtId="3" fontId="8" fillId="0" borderId="7" xfId="0" applyNumberFormat="1" applyFont="1" applyBorder="1"/>
    <xf numFmtId="3" fontId="8" fillId="10" borderId="78" xfId="0" applyNumberFormat="1" applyFont="1" applyFill="1" applyBorder="1"/>
    <xf numFmtId="3" fontId="6" fillId="0" borderId="53" xfId="0" applyNumberFormat="1" applyFont="1" applyBorder="1"/>
    <xf numFmtId="3" fontId="8" fillId="0" borderId="53" xfId="0" applyNumberFormat="1" applyFont="1" applyBorder="1"/>
    <xf numFmtId="0" fontId="2" fillId="0" borderId="46" xfId="0" applyFont="1" applyBorder="1"/>
    <xf numFmtId="0" fontId="2" fillId="0" borderId="10" xfId="0" applyFont="1" applyBorder="1"/>
    <xf numFmtId="49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3" fontId="5" fillId="0" borderId="10" xfId="0" applyNumberFormat="1" applyFont="1" applyBorder="1"/>
    <xf numFmtId="3" fontId="6" fillId="0" borderId="10" xfId="0" applyNumberFormat="1" applyFont="1" applyBorder="1"/>
    <xf numFmtId="3" fontId="6" fillId="10" borderId="80" xfId="0" applyNumberFormat="1" applyFont="1" applyFill="1" applyBorder="1"/>
    <xf numFmtId="3" fontId="6" fillId="0" borderId="54" xfId="0" applyNumberFormat="1" applyFont="1" applyBorder="1"/>
    <xf numFmtId="0" fontId="2" fillId="0" borderId="13" xfId="0" applyFont="1" applyBorder="1"/>
    <xf numFmtId="0" fontId="2" fillId="0" borderId="7" xfId="0" applyFont="1" applyBorder="1"/>
    <xf numFmtId="0" fontId="2" fillId="0" borderId="92" xfId="0" applyFont="1" applyBorder="1"/>
    <xf numFmtId="0" fontId="2" fillId="0" borderId="8" xfId="0" applyFont="1" applyBorder="1"/>
    <xf numFmtId="49" fontId="5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3" fontId="6" fillId="0" borderId="8" xfId="0" applyNumberFormat="1" applyFont="1" applyBorder="1"/>
    <xf numFmtId="3" fontId="6" fillId="10" borderId="79" xfId="0" applyNumberFormat="1" applyFont="1" applyFill="1" applyBorder="1"/>
    <xf numFmtId="3" fontId="6" fillId="0" borderId="56" xfId="0" applyNumberFormat="1" applyFont="1" applyBorder="1"/>
    <xf numFmtId="0" fontId="2" fillId="0" borderId="45" xfId="0" applyFont="1" applyBorder="1"/>
    <xf numFmtId="0" fontId="2" fillId="0" borderId="40" xfId="0" applyFont="1" applyBorder="1"/>
    <xf numFmtId="49" fontId="5" fillId="0" borderId="40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0" xfId="0" applyFont="1" applyBorder="1"/>
    <xf numFmtId="3" fontId="6" fillId="0" borderId="40" xfId="0" applyNumberFormat="1" applyFont="1" applyBorder="1"/>
    <xf numFmtId="3" fontId="6" fillId="10" borderId="81" xfId="0" applyNumberFormat="1" applyFont="1" applyFill="1" applyBorder="1"/>
    <xf numFmtId="3" fontId="6" fillId="0" borderId="55" xfId="0" applyNumberFormat="1" applyFont="1" applyBorder="1"/>
    <xf numFmtId="0" fontId="8" fillId="0" borderId="5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8" fillId="0" borderId="0" xfId="0" applyFont="1"/>
    <xf numFmtId="49" fontId="5" fillId="0" borderId="36" xfId="0" applyNumberFormat="1" applyFont="1" applyBorder="1" applyAlignment="1">
      <alignment horizontal="center"/>
    </xf>
    <xf numFmtId="0" fontId="5" fillId="0" borderId="36" xfId="0" applyFont="1" applyBorder="1"/>
    <xf numFmtId="0" fontId="7" fillId="0" borderId="36" xfId="0" applyFont="1" applyBorder="1" applyAlignment="1">
      <alignment horizontal="center"/>
    </xf>
    <xf numFmtId="0" fontId="8" fillId="0" borderId="36" xfId="0" applyFont="1" applyBorder="1"/>
    <xf numFmtId="0" fontId="6" fillId="0" borderId="39" xfId="0" applyFont="1" applyBorder="1" applyAlignment="1">
      <alignment horizontal="center"/>
    </xf>
    <xf numFmtId="0" fontId="6" fillId="0" borderId="39" xfId="0" applyFont="1" applyBorder="1"/>
    <xf numFmtId="3" fontId="6" fillId="10" borderId="82" xfId="0" applyNumberFormat="1" applyFont="1" applyFill="1" applyBorder="1"/>
    <xf numFmtId="3" fontId="6" fillId="0" borderId="41" xfId="0" applyNumberFormat="1" applyFont="1" applyBorder="1"/>
    <xf numFmtId="0" fontId="8" fillId="0" borderId="30" xfId="0" applyFont="1" applyBorder="1"/>
    <xf numFmtId="49" fontId="8" fillId="0" borderId="30" xfId="0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3" fontId="8" fillId="0" borderId="30" xfId="0" applyNumberFormat="1" applyFont="1" applyBorder="1"/>
    <xf numFmtId="3" fontId="8" fillId="10" borderId="77" xfId="0" applyNumberFormat="1" applyFont="1" applyFill="1" applyBorder="1"/>
    <xf numFmtId="3" fontId="8" fillId="0" borderId="31" xfId="0" applyNumberFormat="1" applyFont="1" applyBorder="1"/>
    <xf numFmtId="0" fontId="8" fillId="0" borderId="5" xfId="0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/>
    </xf>
    <xf numFmtId="0" fontId="5" fillId="0" borderId="17" xfId="0" applyFont="1" applyBorder="1"/>
    <xf numFmtId="49" fontId="5" fillId="0" borderId="17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3" fontId="5" fillId="0" borderId="17" xfId="0" applyNumberFormat="1" applyFont="1" applyBorder="1"/>
    <xf numFmtId="0" fontId="14" fillId="4" borderId="30" xfId="0" applyFont="1" applyFill="1" applyBorder="1"/>
    <xf numFmtId="3" fontId="14" fillId="4" borderId="30" xfId="0" applyNumberFormat="1" applyFont="1" applyFill="1" applyBorder="1"/>
    <xf numFmtId="3" fontId="14" fillId="0" borderId="30" xfId="0" applyNumberFormat="1" applyFont="1" applyBorder="1"/>
    <xf numFmtId="0" fontId="5" fillId="0" borderId="32" xfId="0" applyFont="1" applyBorder="1"/>
    <xf numFmtId="49" fontId="5" fillId="0" borderId="32" xfId="0" applyNumberFormat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3" fontId="5" fillId="0" borderId="32" xfId="0" applyNumberFormat="1" applyFont="1" applyBorder="1"/>
    <xf numFmtId="3" fontId="5" fillId="10" borderId="73" xfId="0" applyNumberFormat="1" applyFont="1" applyFill="1" applyBorder="1"/>
    <xf numFmtId="3" fontId="5" fillId="0" borderId="33" xfId="0" applyNumberFormat="1" applyFont="1" applyBorder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1" fillId="7" borderId="2" xfId="0" applyFont="1" applyFill="1" applyBorder="1"/>
    <xf numFmtId="3" fontId="31" fillId="7" borderId="2" xfId="0" applyNumberFormat="1" applyFont="1" applyFill="1" applyBorder="1"/>
    <xf numFmtId="0" fontId="11" fillId="8" borderId="3" xfId="0" applyFont="1" applyFill="1" applyBorder="1" applyAlignment="1">
      <alignment vertical="center"/>
    </xf>
    <xf numFmtId="3" fontId="11" fillId="8" borderId="3" xfId="0" applyNumberFormat="1" applyFont="1" applyFill="1" applyBorder="1" applyAlignment="1">
      <alignment vertical="center"/>
    </xf>
    <xf numFmtId="0" fontId="15" fillId="9" borderId="4" xfId="0" applyFont="1" applyFill="1" applyBorder="1"/>
    <xf numFmtId="3" fontId="15" fillId="9" borderId="4" xfId="0" applyNumberFormat="1" applyFont="1" applyFill="1" applyBorder="1"/>
    <xf numFmtId="3" fontId="32" fillId="0" borderId="0" xfId="0" applyNumberFormat="1" applyFont="1"/>
    <xf numFmtId="0" fontId="15" fillId="9" borderId="5" xfId="0" applyFont="1" applyFill="1" applyBorder="1"/>
    <xf numFmtId="3" fontId="15" fillId="9" borderId="5" xfId="0" applyNumberFormat="1" applyFont="1" applyFill="1" applyBorder="1"/>
    <xf numFmtId="0" fontId="6" fillId="0" borderId="6" xfId="0" applyFont="1" applyBorder="1"/>
    <xf numFmtId="3" fontId="6" fillId="0" borderId="6" xfId="0" applyNumberFormat="1" applyFont="1" applyBorder="1"/>
    <xf numFmtId="0" fontId="31" fillId="7" borderId="8" xfId="0" applyFont="1" applyFill="1" applyBorder="1"/>
    <xf numFmtId="3" fontId="31" fillId="7" borderId="8" xfId="0" applyNumberFormat="1" applyFont="1" applyFill="1" applyBorder="1"/>
    <xf numFmtId="0" fontId="11" fillId="8" borderId="9" xfId="0" applyFont="1" applyFill="1" applyBorder="1"/>
    <xf numFmtId="3" fontId="11" fillId="8" borderId="9" xfId="0" applyNumberFormat="1" applyFont="1" applyFill="1" applyBorder="1"/>
    <xf numFmtId="0" fontId="15" fillId="9" borderId="10" xfId="0" applyFont="1" applyFill="1" applyBorder="1"/>
    <xf numFmtId="3" fontId="15" fillId="9" borderId="10" xfId="0" applyNumberFormat="1" applyFont="1" applyFill="1" applyBorder="1"/>
    <xf numFmtId="0" fontId="15" fillId="9" borderId="7" xfId="0" applyFont="1" applyFill="1" applyBorder="1"/>
    <xf numFmtId="3" fontId="15" fillId="9" borderId="7" xfId="0" applyNumberFormat="1" applyFont="1" applyFill="1" applyBorder="1"/>
    <xf numFmtId="0" fontId="6" fillId="0" borderId="7" xfId="0" applyFont="1" applyBorder="1" applyAlignment="1">
      <alignment vertical="center"/>
    </xf>
    <xf numFmtId="0" fontId="15" fillId="9" borderId="7" xfId="0" applyFont="1" applyFill="1" applyBorder="1" applyAlignment="1">
      <alignment wrapText="1"/>
    </xf>
    <xf numFmtId="3" fontId="15" fillId="9" borderId="7" xfId="0" applyNumberFormat="1" applyFont="1" applyFill="1" applyBorder="1" applyAlignment="1">
      <alignment vertical="center"/>
    </xf>
    <xf numFmtId="3" fontId="6" fillId="10" borderId="7" xfId="0" applyNumberFormat="1" applyFont="1" applyFill="1" applyBorder="1"/>
    <xf numFmtId="0" fontId="11" fillId="8" borderId="11" xfId="0" applyFont="1" applyFill="1" applyBorder="1"/>
    <xf numFmtId="3" fontId="11" fillId="8" borderId="11" xfId="0" applyNumberFormat="1" applyFont="1" applyFill="1" applyBorder="1"/>
    <xf numFmtId="0" fontId="6" fillId="0" borderId="12" xfId="0" applyFont="1" applyBorder="1"/>
    <xf numFmtId="3" fontId="6" fillId="0" borderId="12" xfId="0" applyNumberFormat="1" applyFont="1" applyBorder="1"/>
    <xf numFmtId="0" fontId="6" fillId="11" borderId="7" xfId="0" applyFont="1" applyFill="1" applyBorder="1" applyAlignment="1">
      <alignment vertical="center"/>
    </xf>
    <xf numFmtId="0" fontId="6" fillId="11" borderId="7" xfId="0" applyFont="1" applyFill="1" applyBorder="1" applyAlignment="1">
      <alignment vertical="center" wrapText="1"/>
    </xf>
    <xf numFmtId="3" fontId="6" fillId="11" borderId="7" xfId="0" applyNumberFormat="1" applyFont="1" applyFill="1" applyBorder="1" applyAlignment="1">
      <alignment vertical="center"/>
    </xf>
    <xf numFmtId="0" fontId="7" fillId="0" borderId="7" xfId="0" applyFont="1" applyBorder="1"/>
    <xf numFmtId="3" fontId="6" fillId="10" borderId="7" xfId="0" applyNumberFormat="1" applyFont="1" applyFill="1" applyBorder="1" applyAlignment="1">
      <alignment vertical="center"/>
    </xf>
    <xf numFmtId="0" fontId="7" fillId="0" borderId="12" xfId="0" applyFont="1" applyBorder="1"/>
    <xf numFmtId="0" fontId="6" fillId="0" borderId="12" xfId="0" applyFont="1" applyBorder="1" applyAlignment="1">
      <alignment vertical="center" wrapText="1"/>
    </xf>
    <xf numFmtId="3" fontId="6" fillId="10" borderId="12" xfId="0" applyNumberFormat="1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/>
    </xf>
    <xf numFmtId="0" fontId="6" fillId="11" borderId="7" xfId="0" applyFont="1" applyFill="1" applyBorder="1"/>
    <xf numFmtId="3" fontId="6" fillId="11" borderId="7" xfId="0" applyNumberFormat="1" applyFont="1" applyFill="1" applyBorder="1"/>
    <xf numFmtId="0" fontId="6" fillId="0" borderId="43" xfId="0" applyFont="1" applyBorder="1"/>
    <xf numFmtId="0" fontId="6" fillId="0" borderId="12" xfId="0" applyFont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3" fontId="34" fillId="3" borderId="15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31" fillId="7" borderId="42" xfId="0" applyFont="1" applyFill="1" applyBorder="1"/>
    <xf numFmtId="3" fontId="31" fillId="7" borderId="42" xfId="0" applyNumberFormat="1" applyFont="1" applyFill="1" applyBorder="1"/>
    <xf numFmtId="0" fontId="1" fillId="0" borderId="18" xfId="0" applyFont="1" applyBorder="1" applyAlignment="1">
      <alignment horizontal="center"/>
    </xf>
    <xf numFmtId="0" fontId="11" fillId="8" borderId="3" xfId="0" applyFont="1" applyFill="1" applyBorder="1"/>
    <xf numFmtId="3" fontId="11" fillId="8" borderId="3" xfId="0" applyNumberFormat="1" applyFont="1" applyFill="1" applyBorder="1"/>
    <xf numFmtId="0" fontId="31" fillId="7" borderId="17" xfId="0" applyFont="1" applyFill="1" applyBorder="1"/>
    <xf numFmtId="3" fontId="31" fillId="7" borderId="17" xfId="0" applyNumberFormat="1" applyFont="1" applyFill="1" applyBorder="1"/>
    <xf numFmtId="0" fontId="6" fillId="11" borderId="5" xfId="0" applyFont="1" applyFill="1" applyBorder="1"/>
    <xf numFmtId="3" fontId="6" fillId="11" borderId="5" xfId="0" applyNumberFormat="1" applyFont="1" applyFill="1" applyBorder="1"/>
    <xf numFmtId="0" fontId="7" fillId="0" borderId="4" xfId="0" applyFont="1" applyBorder="1"/>
    <xf numFmtId="3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33" fillId="3" borderId="19" xfId="0" applyFont="1" applyFill="1" applyBorder="1" applyAlignment="1">
      <alignment vertical="center"/>
    </xf>
    <xf numFmtId="3" fontId="33" fillId="3" borderId="19" xfId="0" applyNumberFormat="1" applyFont="1" applyFill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0" fontId="33" fillId="12" borderId="5" xfId="0" applyFont="1" applyFill="1" applyBorder="1" applyAlignment="1">
      <alignment vertical="center"/>
    </xf>
    <xf numFmtId="3" fontId="33" fillId="12" borderId="5" xfId="0" applyNumberFormat="1" applyFont="1" applyFill="1" applyBorder="1" applyAlignment="1">
      <alignment vertical="center"/>
    </xf>
    <xf numFmtId="0" fontId="35" fillId="0" borderId="14" xfId="0" applyFont="1" applyBorder="1" applyAlignment="1">
      <alignment horizontal="center"/>
    </xf>
    <xf numFmtId="0" fontId="36" fillId="13" borderId="19" xfId="0" applyFont="1" applyFill="1" applyBorder="1"/>
    <xf numFmtId="3" fontId="36" fillId="13" borderId="19" xfId="0" applyNumberFormat="1" applyFont="1" applyFill="1" applyBorder="1"/>
    <xf numFmtId="3" fontId="1" fillId="0" borderId="0" xfId="0" applyNumberFormat="1" applyFont="1" applyAlignment="1">
      <alignment horizontal="center"/>
    </xf>
    <xf numFmtId="3" fontId="37" fillId="0" borderId="0" xfId="0" applyNumberFormat="1" applyFont="1"/>
    <xf numFmtId="0" fontId="8" fillId="0" borderId="39" xfId="0" applyFont="1" applyBorder="1" applyAlignment="1">
      <alignment wrapText="1"/>
    </xf>
    <xf numFmtId="49" fontId="24" fillId="0" borderId="83" xfId="0" applyNumberFormat="1" applyFont="1" applyBorder="1" applyAlignment="1">
      <alignment horizontal="center"/>
    </xf>
    <xf numFmtId="3" fontId="30" fillId="0" borderId="83" xfId="0" applyNumberFormat="1" applyFont="1" applyBorder="1" applyAlignment="1">
      <alignment horizontal="center" vertical="center" wrapText="1"/>
    </xf>
    <xf numFmtId="3" fontId="31" fillId="10" borderId="21" xfId="0" applyNumberFormat="1" applyFont="1" applyFill="1" applyBorder="1" applyAlignment="1">
      <alignment vertical="center"/>
    </xf>
    <xf numFmtId="3" fontId="31" fillId="10" borderId="34" xfId="0" applyNumberFormat="1" applyFont="1" applyFill="1" applyBorder="1" applyAlignment="1">
      <alignment vertical="center"/>
    </xf>
    <xf numFmtId="3" fontId="31" fillId="0" borderId="5" xfId="0" applyNumberFormat="1" applyFont="1" applyBorder="1" applyAlignment="1">
      <alignment vertical="center"/>
    </xf>
    <xf numFmtId="3" fontId="31" fillId="0" borderId="24" xfId="0" applyNumberFormat="1" applyFont="1" applyBorder="1" applyAlignment="1">
      <alignment vertical="center"/>
    </xf>
    <xf numFmtId="0" fontId="2" fillId="0" borderId="24" xfId="0" applyFont="1" applyBorder="1"/>
    <xf numFmtId="0" fontId="2" fillId="0" borderId="24" xfId="0" applyFont="1" applyBorder="1" applyAlignment="1">
      <alignment vertical="center"/>
    </xf>
    <xf numFmtId="3" fontId="0" fillId="0" borderId="0" xfId="0" applyNumberFormat="1"/>
    <xf numFmtId="3" fontId="15" fillId="0" borderId="0" xfId="0" applyNumberFormat="1" applyFont="1" applyAlignment="1">
      <alignment horizontal="right"/>
    </xf>
    <xf numFmtId="0" fontId="15" fillId="20" borderId="24" xfId="0" applyFont="1" applyFill="1" applyBorder="1"/>
    <xf numFmtId="3" fontId="15" fillId="20" borderId="24" xfId="0" applyNumberFormat="1" applyFont="1" applyFill="1" applyBorder="1"/>
    <xf numFmtId="3" fontId="0" fillId="0" borderId="24" xfId="0" applyNumberFormat="1" applyBorder="1"/>
    <xf numFmtId="0" fontId="2" fillId="0" borderId="0" xfId="0" applyFont="1" applyAlignment="1">
      <alignment wrapText="1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3" fontId="0" fillId="0" borderId="24" xfId="0" applyNumberFormat="1" applyBorder="1" applyAlignment="1">
      <alignment vertical="center"/>
    </xf>
    <xf numFmtId="0" fontId="27" fillId="0" borderId="0" xfId="0" applyFont="1" applyAlignment="1">
      <alignment horizontal="center" wrapText="1"/>
    </xf>
    <xf numFmtId="3" fontId="10" fillId="25" borderId="70" xfId="0" applyNumberFormat="1" applyFont="1" applyFill="1" applyBorder="1" applyAlignment="1">
      <alignment horizontal="center" vertical="center" wrapText="1"/>
    </xf>
    <xf numFmtId="49" fontId="28" fillId="23" borderId="57" xfId="0" applyNumberFormat="1" applyFont="1" applyFill="1" applyBorder="1" applyAlignment="1">
      <alignment horizontal="left" vertical="center"/>
    </xf>
    <xf numFmtId="49" fontId="28" fillId="23" borderId="52" xfId="0" applyNumberFormat="1" applyFont="1" applyFill="1" applyBorder="1" applyAlignment="1">
      <alignment horizontal="left" vertical="center"/>
    </xf>
    <xf numFmtId="49" fontId="28" fillId="23" borderId="1" xfId="0" applyNumberFormat="1" applyFont="1" applyFill="1" applyBorder="1" applyAlignment="1">
      <alignment horizontal="left" vertical="center"/>
    </xf>
    <xf numFmtId="49" fontId="28" fillId="23" borderId="5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49" fontId="29" fillId="23" borderId="5" xfId="0" applyNumberFormat="1" applyFont="1" applyFill="1" applyBorder="1" applyAlignment="1">
      <alignment horizontal="center" vertical="center"/>
    </xf>
    <xf numFmtId="0" fontId="30" fillId="23" borderId="5" xfId="0" applyFont="1" applyFill="1" applyBorder="1" applyAlignment="1">
      <alignment horizontal="center" vertical="center"/>
    </xf>
    <xf numFmtId="49" fontId="29" fillId="23" borderId="17" xfId="0" applyNumberFormat="1" applyFont="1" applyFill="1" applyBorder="1" applyAlignment="1">
      <alignment horizontal="center" vertical="center"/>
    </xf>
    <xf numFmtId="0" fontId="30" fillId="23" borderId="17" xfId="0" applyFont="1" applyFill="1" applyBorder="1" applyAlignment="1">
      <alignment horizontal="center" vertical="center"/>
    </xf>
    <xf numFmtId="49" fontId="28" fillId="23" borderId="58" xfId="0" applyNumberFormat="1" applyFont="1" applyFill="1" applyBorder="1" applyAlignment="1">
      <alignment horizontal="center" vertical="center"/>
    </xf>
    <xf numFmtId="49" fontId="28" fillId="23" borderId="51" xfId="0" applyNumberFormat="1" applyFont="1" applyFill="1" applyBorder="1" applyAlignment="1">
      <alignment horizontal="center" vertical="center"/>
    </xf>
    <xf numFmtId="49" fontId="28" fillId="23" borderId="59" xfId="0" applyNumberFormat="1" applyFont="1" applyFill="1" applyBorder="1" applyAlignment="1">
      <alignment horizontal="center" vertical="center"/>
    </xf>
    <xf numFmtId="49" fontId="28" fillId="23" borderId="24" xfId="0" applyNumberFormat="1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49" fontId="29" fillId="23" borderId="24" xfId="0" applyNumberFormat="1" applyFont="1" applyFill="1" applyBorder="1" applyAlignment="1">
      <alignment horizontal="center" vertical="center" wrapText="1"/>
    </xf>
    <xf numFmtId="49" fontId="29" fillId="23" borderId="27" xfId="0" applyNumberFormat="1" applyFont="1" applyFill="1" applyBorder="1" applyAlignment="1">
      <alignment horizontal="center" vertical="center" wrapText="1"/>
    </xf>
    <xf numFmtId="0" fontId="30" fillId="23" borderId="24" xfId="0" applyFont="1" applyFill="1" applyBorder="1" applyAlignment="1">
      <alignment horizontal="center" vertical="center"/>
    </xf>
    <xf numFmtId="0" fontId="30" fillId="23" borderId="27" xfId="0" applyFont="1" applyFill="1" applyBorder="1" applyAlignment="1">
      <alignment horizontal="center" vertical="center"/>
    </xf>
    <xf numFmtId="0" fontId="17" fillId="0" borderId="0" xfId="0" applyFont="1"/>
    <xf numFmtId="0" fontId="2" fillId="0" borderId="0" xfId="0" applyFont="1"/>
    <xf numFmtId="0" fontId="14" fillId="4" borderId="19" xfId="0" applyFont="1" applyFill="1" applyBorder="1"/>
    <xf numFmtId="0" fontId="2" fillId="0" borderId="19" xfId="0" applyFont="1" applyBorder="1"/>
    <xf numFmtId="0" fontId="11" fillId="15" borderId="5" xfId="0" applyFont="1" applyFill="1" applyBorder="1"/>
    <xf numFmtId="0" fontId="2" fillId="15" borderId="5" xfId="0" applyFont="1" applyFill="1" applyBorder="1"/>
    <xf numFmtId="0" fontId="14" fillId="4" borderId="5" xfId="0" applyFont="1" applyFill="1" applyBorder="1"/>
    <xf numFmtId="0" fontId="2" fillId="0" borderId="5" xfId="0" applyFont="1" applyBorder="1"/>
    <xf numFmtId="0" fontId="19" fillId="25" borderId="70" xfId="0" applyFont="1" applyFill="1" applyBorder="1" applyAlignment="1">
      <alignment horizontal="center" vertical="center" textRotation="180" wrapText="1"/>
    </xf>
    <xf numFmtId="0" fontId="14" fillId="4" borderId="4" xfId="0" applyFont="1" applyFill="1" applyBorder="1"/>
    <xf numFmtId="0" fontId="2" fillId="0" borderId="4" xfId="0" applyFont="1" applyBorder="1"/>
    <xf numFmtId="0" fontId="14" fillId="24" borderId="65" xfId="0" applyFont="1" applyFill="1" applyBorder="1"/>
    <xf numFmtId="0" fontId="2" fillId="24" borderId="66" xfId="0" applyFont="1" applyFill="1" applyBorder="1"/>
    <xf numFmtId="0" fontId="2" fillId="24" borderId="67" xfId="0" applyFont="1" applyFill="1" applyBorder="1"/>
    <xf numFmtId="0" fontId="19" fillId="25" borderId="70" xfId="0" applyFont="1" applyFill="1" applyBorder="1" applyAlignment="1">
      <alignment horizontal="center" vertical="center" wrapText="1"/>
    </xf>
    <xf numFmtId="0" fontId="14" fillId="24" borderId="34" xfId="0" applyFont="1" applyFill="1" applyBorder="1"/>
    <xf numFmtId="0" fontId="2" fillId="0" borderId="35" xfId="0" applyFont="1" applyBorder="1"/>
    <xf numFmtId="0" fontId="2" fillId="0" borderId="68" xfId="0" applyFont="1" applyBorder="1"/>
    <xf numFmtId="0" fontId="11" fillId="14" borderId="5" xfId="0" applyFont="1" applyFill="1" applyBorder="1"/>
    <xf numFmtId="0" fontId="2" fillId="14" borderId="5" xfId="0" applyFont="1" applyFill="1" applyBorder="1"/>
    <xf numFmtId="0" fontId="19" fillId="25" borderId="7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" fillId="25" borderId="70" xfId="0" applyFont="1" applyFill="1" applyBorder="1"/>
    <xf numFmtId="0" fontId="22" fillId="3" borderId="5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4" fillId="4" borderId="21" xfId="0" applyFont="1" applyFill="1" applyBorder="1"/>
    <xf numFmtId="0" fontId="14" fillId="4" borderId="89" xfId="0" applyFont="1" applyFill="1" applyBorder="1"/>
    <xf numFmtId="0" fontId="14" fillId="4" borderId="90" xfId="0" applyFont="1" applyFill="1" applyBorder="1"/>
    <xf numFmtId="0" fontId="2" fillId="0" borderId="70" xfId="0" applyFont="1" applyBorder="1"/>
    <xf numFmtId="49" fontId="18" fillId="25" borderId="70" xfId="0" applyNumberFormat="1" applyFont="1" applyFill="1" applyBorder="1" applyAlignment="1">
      <alignment horizontal="center"/>
    </xf>
    <xf numFmtId="0" fontId="14" fillId="4" borderId="24" xfId="0" applyFont="1" applyFill="1" applyBorder="1"/>
    <xf numFmtId="0" fontId="2" fillId="0" borderId="24" xfId="0" applyFont="1" applyBorder="1"/>
    <xf numFmtId="0" fontId="22" fillId="3" borderId="24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7" fillId="0" borderId="62" xfId="0" applyFont="1" applyBorder="1"/>
    <xf numFmtId="0" fontId="2" fillId="0" borderId="63" xfId="0" applyFont="1" applyBorder="1"/>
    <xf numFmtId="0" fontId="2" fillId="0" borderId="64" xfId="0" applyFont="1" applyBorder="1"/>
    <xf numFmtId="0" fontId="14" fillId="4" borderId="30" xfId="0" applyFont="1" applyFill="1" applyBorder="1"/>
    <xf numFmtId="0" fontId="2" fillId="0" borderId="30" xfId="0" applyFont="1" applyBorder="1"/>
    <xf numFmtId="0" fontId="12" fillId="15" borderId="5" xfId="0" applyFont="1" applyFill="1" applyBorder="1"/>
    <xf numFmtId="0" fontId="14" fillId="4" borderId="39" xfId="0" applyFont="1" applyFill="1" applyBorder="1"/>
    <xf numFmtId="0" fontId="2" fillId="0" borderId="39" xfId="0" applyFont="1" applyBorder="1"/>
    <xf numFmtId="0" fontId="25" fillId="4" borderId="5" xfId="0" applyFont="1" applyFill="1" applyBorder="1"/>
    <xf numFmtId="0" fontId="26" fillId="0" borderId="5" xfId="0" applyFont="1" applyBorder="1"/>
    <xf numFmtId="3" fontId="11" fillId="7" borderId="27" xfId="0" applyNumberFormat="1" applyFont="1" applyFill="1" applyBorder="1" applyAlignment="1">
      <alignment vertical="center"/>
    </xf>
    <xf numFmtId="3" fontId="12" fillId="7" borderId="27" xfId="0" applyNumberFormat="1" applyFont="1" applyFill="1" applyBorder="1" applyAlignment="1">
      <alignment vertical="center"/>
    </xf>
    <xf numFmtId="3" fontId="11" fillId="19" borderId="24" xfId="0" applyNumberFormat="1" applyFont="1" applyFill="1" applyBorder="1"/>
    <xf numFmtId="3" fontId="12" fillId="19" borderId="24" xfId="0" applyNumberFormat="1" applyFont="1" applyFill="1" applyBorder="1"/>
    <xf numFmtId="3" fontId="8" fillId="2" borderId="24" xfId="0" applyNumberFormat="1" applyFont="1" applyFill="1" applyBorder="1"/>
    <xf numFmtId="3" fontId="8" fillId="0" borderId="24" xfId="0" applyNumberFormat="1" applyFont="1" applyBorder="1"/>
    <xf numFmtId="3" fontId="8" fillId="2" borderId="34" xfId="0" applyNumberFormat="1" applyFont="1" applyFill="1" applyBorder="1"/>
    <xf numFmtId="3" fontId="8" fillId="2" borderId="35" xfId="0" applyNumberFormat="1" applyFont="1" applyFill="1" applyBorder="1"/>
    <xf numFmtId="3" fontId="9" fillId="26" borderId="84" xfId="0" applyNumberFormat="1" applyFont="1" applyFill="1" applyBorder="1" applyAlignment="1">
      <alignment horizontal="center" vertical="center"/>
    </xf>
    <xf numFmtId="3" fontId="9" fillId="26" borderId="85" xfId="0" applyNumberFormat="1" applyFont="1" applyFill="1" applyBorder="1" applyAlignment="1">
      <alignment horizontal="center" vertical="center"/>
    </xf>
    <xf numFmtId="3" fontId="14" fillId="7" borderId="88" xfId="0" applyNumberFormat="1" applyFont="1" applyFill="1" applyBorder="1" applyAlignment="1">
      <alignment horizontal="center"/>
    </xf>
    <xf numFmtId="3" fontId="14" fillId="7" borderId="66" xfId="0" applyNumberFormat="1" applyFont="1" applyFill="1" applyBorder="1" applyAlignment="1">
      <alignment horizontal="center"/>
    </xf>
  </cellXfs>
  <cellStyles count="7">
    <cellStyle name="Excel Built-in Normal" xfId="1" xr:uid="{00000000-0005-0000-0000-000000000000}"/>
    <cellStyle name="Normálna" xfId="0" builtinId="0"/>
    <cellStyle name="Normálna 2" xfId="2" xr:uid="{00000000-0005-0000-0000-000002000000}"/>
    <cellStyle name="Normálna 3" xfId="3" xr:uid="{00000000-0005-0000-0000-000003000000}"/>
    <cellStyle name="Normálna 4" xfId="4" xr:uid="{00000000-0005-0000-0000-000004000000}"/>
    <cellStyle name="Normálne 2" xfId="5" xr:uid="{00000000-0005-0000-0000-000005000000}"/>
    <cellStyle name="normálne_Kalkulácia MHD TN 1 -12 2010" xfId="6" xr:uid="{00000000-0005-0000-0000-000006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1:M362"/>
  <sheetViews>
    <sheetView tabSelected="1" zoomScaleNormal="100" workbookViewId="0"/>
  </sheetViews>
  <sheetFormatPr defaultRowHeight="12.75" x14ac:dyDescent="0.2"/>
  <cols>
    <col min="1" max="1" width="9.28515625" style="1" customWidth="1"/>
    <col min="2" max="2" width="4" style="320" customWidth="1"/>
    <col min="3" max="3" width="7.140625" style="1" customWidth="1"/>
    <col min="4" max="4" width="49" style="1" customWidth="1"/>
    <col min="5" max="5" width="14.42578125" style="14" customWidth="1"/>
    <col min="6" max="6" width="13.42578125" style="14" customWidth="1"/>
    <col min="7" max="7" width="14.28515625" style="14" customWidth="1"/>
    <col min="8" max="8" width="11.42578125" style="14" customWidth="1"/>
    <col min="9" max="12" width="9.140625" style="14" customWidth="1"/>
    <col min="13" max="13" width="9.140625" style="14"/>
    <col min="14" max="16384" width="9.140625" style="1"/>
  </cols>
  <sheetData>
    <row r="1" spans="2:13" x14ac:dyDescent="0.2">
      <c r="E1" s="46"/>
    </row>
    <row r="2" spans="2:13" ht="84.75" customHeight="1" x14ac:dyDescent="0.4">
      <c r="B2" s="407" t="s">
        <v>590</v>
      </c>
      <c r="C2" s="407"/>
      <c r="D2" s="407"/>
      <c r="E2" s="407"/>
      <c r="F2" s="407"/>
      <c r="G2" s="407"/>
    </row>
    <row r="3" spans="2:13" ht="15" customHeight="1" x14ac:dyDescent="0.2">
      <c r="B3" s="419" t="s">
        <v>39</v>
      </c>
      <c r="C3" s="420"/>
      <c r="D3" s="420"/>
      <c r="E3" s="408" t="s">
        <v>592</v>
      </c>
      <c r="F3" s="408" t="s">
        <v>591</v>
      </c>
      <c r="G3" s="408" t="s">
        <v>566</v>
      </c>
    </row>
    <row r="4" spans="2:13" ht="12.75" customHeight="1" x14ac:dyDescent="0.2">
      <c r="B4" s="421"/>
      <c r="C4" s="422"/>
      <c r="D4" s="422"/>
      <c r="E4" s="408"/>
      <c r="F4" s="408"/>
      <c r="G4" s="408"/>
    </row>
    <row r="5" spans="2:13" ht="12.75" customHeight="1" x14ac:dyDescent="0.2">
      <c r="B5" s="423" t="s">
        <v>111</v>
      </c>
      <c r="C5" s="425" t="s">
        <v>314</v>
      </c>
      <c r="D5" s="427" t="s">
        <v>112</v>
      </c>
      <c r="E5" s="408"/>
      <c r="F5" s="408"/>
      <c r="G5" s="408"/>
    </row>
    <row r="6" spans="2:13" ht="3.75" customHeight="1" x14ac:dyDescent="0.2">
      <c r="B6" s="424"/>
      <c r="C6" s="426"/>
      <c r="D6" s="428"/>
      <c r="E6" s="408"/>
      <c r="F6" s="408"/>
      <c r="G6" s="408"/>
    </row>
    <row r="7" spans="2:13" ht="16.5" thickBot="1" x14ac:dyDescent="0.3">
      <c r="B7" s="321">
        <v>1</v>
      </c>
      <c r="C7" s="322">
        <v>100</v>
      </c>
      <c r="D7" s="322" t="s">
        <v>251</v>
      </c>
      <c r="E7" s="323">
        <f>E8</f>
        <v>43595000</v>
      </c>
      <c r="F7" s="323">
        <f>F8</f>
        <v>13000</v>
      </c>
      <c r="G7" s="323">
        <f>E7+F7</f>
        <v>43608000</v>
      </c>
    </row>
    <row r="8" spans="2:13" s="79" customFormat="1" ht="15.75" thickBot="1" x14ac:dyDescent="0.25">
      <c r="B8" s="48">
        <f>B7+1</f>
        <v>2</v>
      </c>
      <c r="C8" s="324"/>
      <c r="D8" s="324" t="s">
        <v>38</v>
      </c>
      <c r="E8" s="325">
        <f>E9+E11+E16</f>
        <v>43595000</v>
      </c>
      <c r="F8" s="325">
        <f>F9+F11+F16</f>
        <v>13000</v>
      </c>
      <c r="G8" s="325">
        <f t="shared" ref="G8:G71" si="0">E8+F8</f>
        <v>43608000</v>
      </c>
      <c r="H8" s="20"/>
      <c r="I8" s="20"/>
      <c r="J8" s="20"/>
      <c r="K8" s="20"/>
      <c r="L8" s="20"/>
      <c r="M8" s="20"/>
    </row>
    <row r="9" spans="2:13" ht="19.5" x14ac:dyDescent="0.3">
      <c r="B9" s="321">
        <f>B8+1</f>
        <v>3</v>
      </c>
      <c r="C9" s="326">
        <v>110</v>
      </c>
      <c r="D9" s="326" t="s">
        <v>252</v>
      </c>
      <c r="E9" s="327">
        <f>E10</f>
        <v>28100000</v>
      </c>
      <c r="F9" s="327">
        <f>F10</f>
        <v>263000</v>
      </c>
      <c r="G9" s="327">
        <f t="shared" si="0"/>
        <v>28363000</v>
      </c>
      <c r="I9" s="328"/>
    </row>
    <row r="10" spans="2:13" x14ac:dyDescent="0.2">
      <c r="B10" s="321">
        <f t="shared" ref="B10:B73" si="1">B9+1</f>
        <v>4</v>
      </c>
      <c r="C10" s="11">
        <v>111003</v>
      </c>
      <c r="D10" s="11" t="s">
        <v>250</v>
      </c>
      <c r="E10" s="66">
        <v>28100000</v>
      </c>
      <c r="F10" s="66">
        <v>263000</v>
      </c>
      <c r="G10" s="66">
        <f t="shared" si="0"/>
        <v>28363000</v>
      </c>
    </row>
    <row r="11" spans="2:13" ht="18" customHeight="1" x14ac:dyDescent="0.35">
      <c r="B11" s="321">
        <f t="shared" si="1"/>
        <v>5</v>
      </c>
      <c r="C11" s="329">
        <v>120</v>
      </c>
      <c r="D11" s="329" t="s">
        <v>254</v>
      </c>
      <c r="E11" s="330">
        <f>E12</f>
        <v>11600000</v>
      </c>
      <c r="F11" s="330">
        <f>F12</f>
        <v>0</v>
      </c>
      <c r="G11" s="330">
        <f t="shared" si="0"/>
        <v>11600000</v>
      </c>
      <c r="I11" s="388"/>
    </row>
    <row r="12" spans="2:13" x14ac:dyDescent="0.2">
      <c r="B12" s="321">
        <f t="shared" si="1"/>
        <v>6</v>
      </c>
      <c r="C12" s="9"/>
      <c r="D12" s="9" t="s">
        <v>310</v>
      </c>
      <c r="E12" s="62">
        <f>SUM(E13:E15)</f>
        <v>11600000</v>
      </c>
      <c r="F12" s="62">
        <f>SUM(F13:F15)</f>
        <v>0</v>
      </c>
      <c r="G12" s="62">
        <f t="shared" si="0"/>
        <v>11600000</v>
      </c>
    </row>
    <row r="13" spans="2:13" x14ac:dyDescent="0.2">
      <c r="B13" s="321">
        <f t="shared" si="1"/>
        <v>7</v>
      </c>
      <c r="C13" s="11">
        <v>121001</v>
      </c>
      <c r="D13" s="11" t="s">
        <v>253</v>
      </c>
      <c r="E13" s="66">
        <v>1225000</v>
      </c>
      <c r="F13" s="66"/>
      <c r="G13" s="66">
        <f t="shared" si="0"/>
        <v>1225000</v>
      </c>
    </row>
    <row r="14" spans="2:13" x14ac:dyDescent="0.2">
      <c r="B14" s="321">
        <f t="shared" si="1"/>
        <v>8</v>
      </c>
      <c r="C14" s="11">
        <v>121002</v>
      </c>
      <c r="D14" s="11" t="s">
        <v>255</v>
      </c>
      <c r="E14" s="66">
        <v>9040000</v>
      </c>
      <c r="F14" s="66"/>
      <c r="G14" s="66">
        <f t="shared" si="0"/>
        <v>9040000</v>
      </c>
    </row>
    <row r="15" spans="2:13" x14ac:dyDescent="0.2">
      <c r="B15" s="321">
        <f t="shared" si="1"/>
        <v>9</v>
      </c>
      <c r="C15" s="11">
        <v>121003</v>
      </c>
      <c r="D15" s="11" t="s">
        <v>256</v>
      </c>
      <c r="E15" s="66">
        <v>1335000</v>
      </c>
      <c r="F15" s="66"/>
      <c r="G15" s="66">
        <f t="shared" si="0"/>
        <v>1335000</v>
      </c>
    </row>
    <row r="16" spans="2:13" x14ac:dyDescent="0.2">
      <c r="B16" s="321">
        <f t="shared" si="1"/>
        <v>10</v>
      </c>
      <c r="C16" s="329">
        <v>130</v>
      </c>
      <c r="D16" s="329" t="s">
        <v>257</v>
      </c>
      <c r="E16" s="330">
        <f>SUM(E17:E20)</f>
        <v>3895000</v>
      </c>
      <c r="F16" s="330">
        <f>SUM(F17:F20)</f>
        <v>-250000</v>
      </c>
      <c r="G16" s="330">
        <f t="shared" si="0"/>
        <v>3645000</v>
      </c>
    </row>
    <row r="17" spans="2:7" x14ac:dyDescent="0.2">
      <c r="B17" s="321">
        <f t="shared" si="1"/>
        <v>11</v>
      </c>
      <c r="C17" s="11">
        <v>133001</v>
      </c>
      <c r="D17" s="11" t="s">
        <v>306</v>
      </c>
      <c r="E17" s="66">
        <v>65000</v>
      </c>
      <c r="F17" s="66"/>
      <c r="G17" s="66">
        <f t="shared" si="0"/>
        <v>65000</v>
      </c>
    </row>
    <row r="18" spans="2:7" x14ac:dyDescent="0.2">
      <c r="B18" s="321">
        <f t="shared" si="1"/>
        <v>12</v>
      </c>
      <c r="C18" s="11">
        <v>133006</v>
      </c>
      <c r="D18" s="11" t="s">
        <v>307</v>
      </c>
      <c r="E18" s="66">
        <v>200000</v>
      </c>
      <c r="F18" s="66"/>
      <c r="G18" s="66">
        <f t="shared" si="0"/>
        <v>200000</v>
      </c>
    </row>
    <row r="19" spans="2:7" x14ac:dyDescent="0.2">
      <c r="B19" s="321">
        <f t="shared" si="1"/>
        <v>13</v>
      </c>
      <c r="C19" s="331">
        <v>133012</v>
      </c>
      <c r="D19" s="331" t="s">
        <v>308</v>
      </c>
      <c r="E19" s="332">
        <v>80000</v>
      </c>
      <c r="F19" s="332"/>
      <c r="G19" s="332">
        <f t="shared" si="0"/>
        <v>80000</v>
      </c>
    </row>
    <row r="20" spans="2:7" x14ac:dyDescent="0.2">
      <c r="B20" s="321">
        <f t="shared" si="1"/>
        <v>14</v>
      </c>
      <c r="C20" s="3">
        <v>133013</v>
      </c>
      <c r="D20" s="3" t="s">
        <v>309</v>
      </c>
      <c r="E20" s="5">
        <v>3550000</v>
      </c>
      <c r="F20" s="5">
        <v>-250000</v>
      </c>
      <c r="G20" s="5">
        <f t="shared" si="0"/>
        <v>3300000</v>
      </c>
    </row>
    <row r="21" spans="2:7" ht="16.5" thickBot="1" x14ac:dyDescent="0.3">
      <c r="B21" s="321">
        <f t="shared" si="1"/>
        <v>15</v>
      </c>
      <c r="C21" s="333">
        <v>200</v>
      </c>
      <c r="D21" s="333" t="s">
        <v>163</v>
      </c>
      <c r="E21" s="334">
        <f>E256+E248+E240+E232+E222+E212+E206+E198+E189+E151+E86+E83+E44+E41+E22</f>
        <v>9533238</v>
      </c>
      <c r="F21" s="334">
        <f>F22+F41+F44+F83+F86+F151+F189+F198+F206+F212+F222+F232+F240+F248+F256</f>
        <v>194155</v>
      </c>
      <c r="G21" s="334">
        <f t="shared" si="0"/>
        <v>9727393</v>
      </c>
    </row>
    <row r="22" spans="2:7" ht="15.75" thickBot="1" x14ac:dyDescent="0.3">
      <c r="B22" s="321">
        <f t="shared" si="1"/>
        <v>16</v>
      </c>
      <c r="C22" s="335"/>
      <c r="D22" s="335" t="s">
        <v>38</v>
      </c>
      <c r="E22" s="336">
        <f>E23+E27+E35+E38</f>
        <v>4287790</v>
      </c>
      <c r="F22" s="336">
        <f>F23+F27+F35+F38</f>
        <v>60000</v>
      </c>
      <c r="G22" s="336">
        <f t="shared" si="0"/>
        <v>4347790</v>
      </c>
    </row>
    <row r="23" spans="2:7" x14ac:dyDescent="0.2">
      <c r="B23" s="321">
        <f t="shared" si="1"/>
        <v>17</v>
      </c>
      <c r="C23" s="337">
        <v>210</v>
      </c>
      <c r="D23" s="337" t="s">
        <v>236</v>
      </c>
      <c r="E23" s="338">
        <f>SUM(E24:E26)</f>
        <v>962090</v>
      </c>
      <c r="F23" s="338">
        <f>SUM(F24:F26)</f>
        <v>0</v>
      </c>
      <c r="G23" s="338">
        <f t="shared" si="0"/>
        <v>962090</v>
      </c>
    </row>
    <row r="24" spans="2:7" x14ac:dyDescent="0.2">
      <c r="B24" s="321">
        <f t="shared" si="1"/>
        <v>18</v>
      </c>
      <c r="C24" s="3">
        <v>212002</v>
      </c>
      <c r="D24" s="3" t="s">
        <v>258</v>
      </c>
      <c r="E24" s="5">
        <v>156500</v>
      </c>
      <c r="F24" s="5"/>
      <c r="G24" s="5">
        <f t="shared" si="0"/>
        <v>156500</v>
      </c>
    </row>
    <row r="25" spans="2:7" x14ac:dyDescent="0.2">
      <c r="B25" s="321">
        <f t="shared" si="1"/>
        <v>19</v>
      </c>
      <c r="C25" s="3">
        <v>212003</v>
      </c>
      <c r="D25" s="3" t="s">
        <v>237</v>
      </c>
      <c r="E25" s="5">
        <v>673590</v>
      </c>
      <c r="F25" s="5"/>
      <c r="G25" s="5">
        <f t="shared" si="0"/>
        <v>673590</v>
      </c>
    </row>
    <row r="26" spans="2:7" x14ac:dyDescent="0.2">
      <c r="B26" s="321">
        <f t="shared" si="1"/>
        <v>20</v>
      </c>
      <c r="C26" s="3">
        <v>212003</v>
      </c>
      <c r="D26" s="3" t="s">
        <v>447</v>
      </c>
      <c r="E26" s="5">
        <v>132000</v>
      </c>
      <c r="F26" s="5"/>
      <c r="G26" s="5">
        <f t="shared" si="0"/>
        <v>132000</v>
      </c>
    </row>
    <row r="27" spans="2:7" x14ac:dyDescent="0.2">
      <c r="B27" s="321">
        <f t="shared" si="1"/>
        <v>21</v>
      </c>
      <c r="C27" s="339">
        <v>220</v>
      </c>
      <c r="D27" s="339" t="s">
        <v>211</v>
      </c>
      <c r="E27" s="340">
        <f>SUM(E28:E34)</f>
        <v>2925700</v>
      </c>
      <c r="F27" s="340">
        <f>SUM(F28:F34)</f>
        <v>0</v>
      </c>
      <c r="G27" s="340">
        <f t="shared" si="0"/>
        <v>2925700</v>
      </c>
    </row>
    <row r="28" spans="2:7" x14ac:dyDescent="0.2">
      <c r="B28" s="321">
        <f t="shared" si="1"/>
        <v>22</v>
      </c>
      <c r="C28" s="3">
        <v>221004</v>
      </c>
      <c r="D28" s="3" t="s">
        <v>212</v>
      </c>
      <c r="E28" s="5">
        <v>230000</v>
      </c>
      <c r="F28" s="5"/>
      <c r="G28" s="5">
        <f t="shared" si="0"/>
        <v>230000</v>
      </c>
    </row>
    <row r="29" spans="2:7" x14ac:dyDescent="0.2">
      <c r="B29" s="321">
        <f t="shared" si="1"/>
        <v>23</v>
      </c>
      <c r="C29" s="3">
        <v>222003</v>
      </c>
      <c r="D29" s="3" t="s">
        <v>55</v>
      </c>
      <c r="E29" s="5">
        <v>120000</v>
      </c>
      <c r="F29" s="5"/>
      <c r="G29" s="5">
        <f t="shared" si="0"/>
        <v>120000</v>
      </c>
    </row>
    <row r="30" spans="2:7" x14ac:dyDescent="0.2">
      <c r="B30" s="321">
        <f t="shared" si="1"/>
        <v>24</v>
      </c>
      <c r="C30" s="3">
        <v>223001</v>
      </c>
      <c r="D30" s="3" t="s">
        <v>239</v>
      </c>
      <c r="E30" s="5">
        <v>1200</v>
      </c>
      <c r="F30" s="5"/>
      <c r="G30" s="5">
        <f t="shared" si="0"/>
        <v>1200</v>
      </c>
    </row>
    <row r="31" spans="2:7" x14ac:dyDescent="0.2">
      <c r="B31" s="321">
        <f t="shared" si="1"/>
        <v>25</v>
      </c>
      <c r="C31" s="3">
        <v>223001</v>
      </c>
      <c r="D31" s="3" t="s">
        <v>311</v>
      </c>
      <c r="E31" s="5">
        <v>2400000</v>
      </c>
      <c r="F31" s="5"/>
      <c r="G31" s="5">
        <f t="shared" si="0"/>
        <v>2400000</v>
      </c>
    </row>
    <row r="32" spans="2:7" x14ac:dyDescent="0.2">
      <c r="B32" s="321">
        <f t="shared" si="1"/>
        <v>26</v>
      </c>
      <c r="C32" s="3">
        <v>223001</v>
      </c>
      <c r="D32" s="3" t="s">
        <v>312</v>
      </c>
      <c r="E32" s="5">
        <v>28000</v>
      </c>
      <c r="F32" s="5"/>
      <c r="G32" s="5">
        <f t="shared" si="0"/>
        <v>28000</v>
      </c>
    </row>
    <row r="33" spans="2:7" x14ac:dyDescent="0.2">
      <c r="B33" s="321">
        <f t="shared" si="1"/>
        <v>27</v>
      </c>
      <c r="C33" s="3">
        <v>223001</v>
      </c>
      <c r="D33" s="3" t="s">
        <v>420</v>
      </c>
      <c r="E33" s="5">
        <v>146000</v>
      </c>
      <c r="F33" s="5"/>
      <c r="G33" s="5">
        <f t="shared" si="0"/>
        <v>146000</v>
      </c>
    </row>
    <row r="34" spans="2:7" x14ac:dyDescent="0.2">
      <c r="B34" s="321">
        <f t="shared" si="1"/>
        <v>28</v>
      </c>
      <c r="C34" s="3">
        <v>229005</v>
      </c>
      <c r="D34" s="3" t="s">
        <v>249</v>
      </c>
      <c r="E34" s="5">
        <v>500</v>
      </c>
      <c r="F34" s="5"/>
      <c r="G34" s="5">
        <f t="shared" si="0"/>
        <v>500</v>
      </c>
    </row>
    <row r="35" spans="2:7" x14ac:dyDescent="0.2">
      <c r="B35" s="321">
        <f t="shared" si="1"/>
        <v>29</v>
      </c>
      <c r="C35" s="339">
        <v>240</v>
      </c>
      <c r="D35" s="339" t="s">
        <v>167</v>
      </c>
      <c r="E35" s="340">
        <f>E36+E37</f>
        <v>50000</v>
      </c>
      <c r="F35" s="340">
        <f>F36+F37</f>
        <v>60000</v>
      </c>
      <c r="G35" s="340">
        <f t="shared" si="0"/>
        <v>110000</v>
      </c>
    </row>
    <row r="36" spans="2:7" x14ac:dyDescent="0.2">
      <c r="B36" s="321">
        <f t="shared" si="1"/>
        <v>30</v>
      </c>
      <c r="C36" s="3">
        <v>242</v>
      </c>
      <c r="D36" s="3" t="s">
        <v>166</v>
      </c>
      <c r="E36" s="5">
        <v>1000</v>
      </c>
      <c r="F36" s="5"/>
      <c r="G36" s="5">
        <f t="shared" si="0"/>
        <v>1000</v>
      </c>
    </row>
    <row r="37" spans="2:7" x14ac:dyDescent="0.2">
      <c r="B37" s="321">
        <f t="shared" si="1"/>
        <v>31</v>
      </c>
      <c r="C37" s="3">
        <v>244</v>
      </c>
      <c r="D37" s="3" t="s">
        <v>457</v>
      </c>
      <c r="E37" s="5">
        <v>49000</v>
      </c>
      <c r="F37" s="5">
        <v>60000</v>
      </c>
      <c r="G37" s="5">
        <f t="shared" si="0"/>
        <v>109000</v>
      </c>
    </row>
    <row r="38" spans="2:7" x14ac:dyDescent="0.2">
      <c r="B38" s="321">
        <f t="shared" si="1"/>
        <v>32</v>
      </c>
      <c r="C38" s="339">
        <v>290</v>
      </c>
      <c r="D38" s="339" t="s">
        <v>169</v>
      </c>
      <c r="E38" s="340">
        <f>SUM(E39:E40)</f>
        <v>350000</v>
      </c>
      <c r="F38" s="340">
        <f>SUM(F39:F40)</f>
        <v>0</v>
      </c>
      <c r="G38" s="340">
        <f t="shared" si="0"/>
        <v>350000</v>
      </c>
    </row>
    <row r="39" spans="2:7" x14ac:dyDescent="0.2">
      <c r="B39" s="321">
        <f t="shared" si="1"/>
        <v>33</v>
      </c>
      <c r="C39" s="3">
        <v>292008</v>
      </c>
      <c r="D39" s="3" t="s">
        <v>170</v>
      </c>
      <c r="E39" s="5">
        <v>150000</v>
      </c>
      <c r="F39" s="5"/>
      <c r="G39" s="5">
        <f t="shared" si="0"/>
        <v>150000</v>
      </c>
    </row>
    <row r="40" spans="2:7" ht="13.5" thickBot="1" x14ac:dyDescent="0.25">
      <c r="B40" s="321">
        <f t="shared" si="1"/>
        <v>34</v>
      </c>
      <c r="C40" s="271">
        <v>292027</v>
      </c>
      <c r="D40" s="271" t="s">
        <v>313</v>
      </c>
      <c r="E40" s="272">
        <v>200000</v>
      </c>
      <c r="F40" s="272"/>
      <c r="G40" s="272">
        <f t="shared" si="0"/>
        <v>200000</v>
      </c>
    </row>
    <row r="41" spans="2:7" ht="15.75" thickBot="1" x14ac:dyDescent="0.3">
      <c r="B41" s="321">
        <f t="shared" si="1"/>
        <v>35</v>
      </c>
      <c r="C41" s="335">
        <v>1</v>
      </c>
      <c r="D41" s="335" t="s">
        <v>49</v>
      </c>
      <c r="E41" s="336">
        <f>E42</f>
        <v>32200</v>
      </c>
      <c r="F41" s="336">
        <f>F42</f>
        <v>0</v>
      </c>
      <c r="G41" s="336">
        <f t="shared" si="0"/>
        <v>32200</v>
      </c>
    </row>
    <row r="42" spans="2:7" x14ac:dyDescent="0.2">
      <c r="B42" s="321">
        <f t="shared" si="1"/>
        <v>36</v>
      </c>
      <c r="C42" s="337">
        <v>220</v>
      </c>
      <c r="D42" s="337" t="s">
        <v>211</v>
      </c>
      <c r="E42" s="338">
        <f>E43</f>
        <v>32200</v>
      </c>
      <c r="F42" s="338">
        <f>F43</f>
        <v>0</v>
      </c>
      <c r="G42" s="338">
        <f t="shared" si="0"/>
        <v>32200</v>
      </c>
    </row>
    <row r="43" spans="2:7" ht="13.5" thickBot="1" x14ac:dyDescent="0.25">
      <c r="B43" s="321">
        <f t="shared" si="1"/>
        <v>37</v>
      </c>
      <c r="C43" s="3">
        <v>223002</v>
      </c>
      <c r="D43" s="3" t="s">
        <v>69</v>
      </c>
      <c r="E43" s="5">
        <f>23000+9200</f>
        <v>32200</v>
      </c>
      <c r="F43" s="5"/>
      <c r="G43" s="5">
        <f t="shared" si="0"/>
        <v>32200</v>
      </c>
    </row>
    <row r="44" spans="2:7" ht="15.75" thickBot="1" x14ac:dyDescent="0.3">
      <c r="B44" s="321">
        <f t="shared" si="1"/>
        <v>38</v>
      </c>
      <c r="C44" s="335">
        <v>2</v>
      </c>
      <c r="D44" s="335" t="s">
        <v>11</v>
      </c>
      <c r="E44" s="336">
        <f>E45+E47+E50+E52+E56+E59+E63+E66+E69+E71+E74+E76+E80</f>
        <v>1228250</v>
      </c>
      <c r="F44" s="336">
        <f>F45+F47+F50+F52+F56+F59+F63+F66+F69+F71+F74+F76+F80</f>
        <v>0</v>
      </c>
      <c r="G44" s="336">
        <f t="shared" si="0"/>
        <v>1228250</v>
      </c>
    </row>
    <row r="45" spans="2:7" x14ac:dyDescent="0.2">
      <c r="B45" s="321">
        <f t="shared" si="1"/>
        <v>39</v>
      </c>
      <c r="C45" s="339">
        <v>210</v>
      </c>
      <c r="D45" s="337" t="s">
        <v>236</v>
      </c>
      <c r="E45" s="340">
        <f>E46</f>
        <v>300</v>
      </c>
      <c r="F45" s="340">
        <f>F46</f>
        <v>0</v>
      </c>
      <c r="G45" s="340">
        <f t="shared" si="0"/>
        <v>300</v>
      </c>
    </row>
    <row r="46" spans="2:7" x14ac:dyDescent="0.2">
      <c r="B46" s="321">
        <f t="shared" si="1"/>
        <v>40</v>
      </c>
      <c r="C46" s="3">
        <v>212003</v>
      </c>
      <c r="D46" s="3" t="s">
        <v>237</v>
      </c>
      <c r="E46" s="5">
        <v>300</v>
      </c>
      <c r="F46" s="5"/>
      <c r="G46" s="5">
        <f t="shared" si="0"/>
        <v>300</v>
      </c>
    </row>
    <row r="47" spans="2:7" x14ac:dyDescent="0.2">
      <c r="B47" s="321">
        <f t="shared" si="1"/>
        <v>41</v>
      </c>
      <c r="C47" s="339">
        <v>220</v>
      </c>
      <c r="D47" s="339" t="s">
        <v>211</v>
      </c>
      <c r="E47" s="340">
        <f>E48+E49</f>
        <v>1300</v>
      </c>
      <c r="F47" s="340">
        <f>F48+F49</f>
        <v>0</v>
      </c>
      <c r="G47" s="340">
        <f t="shared" si="0"/>
        <v>1300</v>
      </c>
    </row>
    <row r="48" spans="2:7" x14ac:dyDescent="0.2">
      <c r="B48" s="321">
        <f t="shared" si="1"/>
        <v>42</v>
      </c>
      <c r="C48" s="3">
        <v>222003</v>
      </c>
      <c r="D48" s="3" t="s">
        <v>55</v>
      </c>
      <c r="E48" s="5">
        <v>100</v>
      </c>
      <c r="F48" s="5"/>
      <c r="G48" s="5">
        <f t="shared" si="0"/>
        <v>100</v>
      </c>
    </row>
    <row r="49" spans="2:7" x14ac:dyDescent="0.2">
      <c r="B49" s="321">
        <f t="shared" si="1"/>
        <v>43</v>
      </c>
      <c r="C49" s="3">
        <v>223001</v>
      </c>
      <c r="D49" s="3" t="s">
        <v>239</v>
      </c>
      <c r="E49" s="5">
        <v>1200</v>
      </c>
      <c r="F49" s="5"/>
      <c r="G49" s="5">
        <f t="shared" si="0"/>
        <v>1200</v>
      </c>
    </row>
    <row r="50" spans="2:7" x14ac:dyDescent="0.2">
      <c r="B50" s="321">
        <f t="shared" si="1"/>
        <v>44</v>
      </c>
      <c r="C50" s="339">
        <v>240</v>
      </c>
      <c r="D50" s="339" t="s">
        <v>167</v>
      </c>
      <c r="E50" s="340">
        <f>E51</f>
        <v>50</v>
      </c>
      <c r="F50" s="340">
        <f>F51</f>
        <v>0</v>
      </c>
      <c r="G50" s="340">
        <f t="shared" si="0"/>
        <v>50</v>
      </c>
    </row>
    <row r="51" spans="2:7" x14ac:dyDescent="0.2">
      <c r="B51" s="321">
        <f t="shared" si="1"/>
        <v>45</v>
      </c>
      <c r="C51" s="3">
        <v>242</v>
      </c>
      <c r="D51" s="3" t="s">
        <v>166</v>
      </c>
      <c r="E51" s="5">
        <v>50</v>
      </c>
      <c r="F51" s="5"/>
      <c r="G51" s="5">
        <f t="shared" si="0"/>
        <v>50</v>
      </c>
    </row>
    <row r="52" spans="2:7" x14ac:dyDescent="0.2">
      <c r="B52" s="321">
        <f t="shared" si="1"/>
        <v>46</v>
      </c>
      <c r="C52" s="339">
        <v>290</v>
      </c>
      <c r="D52" s="339" t="s">
        <v>169</v>
      </c>
      <c r="E52" s="340">
        <f>SUM(E53:E55)</f>
        <v>4600</v>
      </c>
      <c r="F52" s="340">
        <f>SUM(F53:F55)</f>
        <v>0</v>
      </c>
      <c r="G52" s="340">
        <f t="shared" si="0"/>
        <v>4600</v>
      </c>
    </row>
    <row r="53" spans="2:7" x14ac:dyDescent="0.2">
      <c r="B53" s="321">
        <f t="shared" si="1"/>
        <v>47</v>
      </c>
      <c r="C53" s="3">
        <v>292012</v>
      </c>
      <c r="D53" s="3" t="s">
        <v>221</v>
      </c>
      <c r="E53" s="5">
        <v>4000</v>
      </c>
      <c r="F53" s="5"/>
      <c r="G53" s="5">
        <f t="shared" si="0"/>
        <v>4000</v>
      </c>
    </row>
    <row r="54" spans="2:7" x14ac:dyDescent="0.2">
      <c r="B54" s="321">
        <f t="shared" si="1"/>
        <v>48</v>
      </c>
      <c r="C54" s="3">
        <v>292017</v>
      </c>
      <c r="D54" s="3" t="s">
        <v>222</v>
      </c>
      <c r="E54" s="5">
        <v>300</v>
      </c>
      <c r="F54" s="5"/>
      <c r="G54" s="5">
        <f t="shared" si="0"/>
        <v>300</v>
      </c>
    </row>
    <row r="55" spans="2:7" x14ac:dyDescent="0.2">
      <c r="B55" s="321">
        <f t="shared" si="1"/>
        <v>49</v>
      </c>
      <c r="C55" s="3">
        <v>292027</v>
      </c>
      <c r="D55" s="3" t="s">
        <v>313</v>
      </c>
      <c r="E55" s="5">
        <v>300</v>
      </c>
      <c r="F55" s="5"/>
      <c r="G55" s="5">
        <f t="shared" si="0"/>
        <v>300</v>
      </c>
    </row>
    <row r="56" spans="2:7" x14ac:dyDescent="0.2">
      <c r="B56" s="321">
        <f t="shared" si="1"/>
        <v>50</v>
      </c>
      <c r="C56" s="339"/>
      <c r="D56" s="339" t="s">
        <v>47</v>
      </c>
      <c r="E56" s="340">
        <f>E57+E58</f>
        <v>293000</v>
      </c>
      <c r="F56" s="340">
        <f>F57+F58</f>
        <v>0</v>
      </c>
      <c r="G56" s="340">
        <f t="shared" si="0"/>
        <v>293000</v>
      </c>
    </row>
    <row r="57" spans="2:7" x14ac:dyDescent="0.2">
      <c r="B57" s="321">
        <f t="shared" si="1"/>
        <v>51</v>
      </c>
      <c r="C57" s="3">
        <v>212003</v>
      </c>
      <c r="D57" s="3" t="s">
        <v>237</v>
      </c>
      <c r="E57" s="5">
        <v>6000</v>
      </c>
      <c r="F57" s="5"/>
      <c r="G57" s="5">
        <f t="shared" si="0"/>
        <v>6000</v>
      </c>
    </row>
    <row r="58" spans="2:7" x14ac:dyDescent="0.2">
      <c r="B58" s="321">
        <f t="shared" si="1"/>
        <v>52</v>
      </c>
      <c r="C58" s="3">
        <v>223001</v>
      </c>
      <c r="D58" s="3" t="s">
        <v>239</v>
      </c>
      <c r="E58" s="5">
        <v>287000</v>
      </c>
      <c r="F58" s="5"/>
      <c r="G58" s="5">
        <f t="shared" si="0"/>
        <v>287000</v>
      </c>
    </row>
    <row r="59" spans="2:7" x14ac:dyDescent="0.2">
      <c r="B59" s="321">
        <f t="shared" si="1"/>
        <v>53</v>
      </c>
      <c r="C59" s="339"/>
      <c r="D59" s="339" t="s">
        <v>394</v>
      </c>
      <c r="E59" s="340">
        <f>SUM(E60:E62)</f>
        <v>408800</v>
      </c>
      <c r="F59" s="340">
        <f>SUM(F60:F62)</f>
        <v>0</v>
      </c>
      <c r="G59" s="340">
        <f t="shared" si="0"/>
        <v>408800</v>
      </c>
    </row>
    <row r="60" spans="2:7" x14ac:dyDescent="0.2">
      <c r="B60" s="321">
        <f t="shared" si="1"/>
        <v>54</v>
      </c>
      <c r="C60" s="3">
        <v>212002</v>
      </c>
      <c r="D60" s="3" t="s">
        <v>258</v>
      </c>
      <c r="E60" s="5">
        <v>10000</v>
      </c>
      <c r="F60" s="5"/>
      <c r="G60" s="5">
        <f t="shared" si="0"/>
        <v>10000</v>
      </c>
    </row>
    <row r="61" spans="2:7" x14ac:dyDescent="0.2">
      <c r="B61" s="321">
        <f t="shared" si="1"/>
        <v>55</v>
      </c>
      <c r="C61" s="3">
        <v>212003</v>
      </c>
      <c r="D61" s="3" t="s">
        <v>237</v>
      </c>
      <c r="E61" s="5">
        <v>2500</v>
      </c>
      <c r="F61" s="5"/>
      <c r="G61" s="5">
        <f t="shared" si="0"/>
        <v>2500</v>
      </c>
    </row>
    <row r="62" spans="2:7" x14ac:dyDescent="0.2">
      <c r="B62" s="321">
        <f t="shared" si="1"/>
        <v>56</v>
      </c>
      <c r="C62" s="3">
        <v>223001</v>
      </c>
      <c r="D62" s="3" t="s">
        <v>239</v>
      </c>
      <c r="E62" s="5">
        <v>396300</v>
      </c>
      <c r="F62" s="5"/>
      <c r="G62" s="5">
        <f t="shared" si="0"/>
        <v>396300</v>
      </c>
    </row>
    <row r="63" spans="2:7" x14ac:dyDescent="0.2">
      <c r="B63" s="321">
        <f t="shared" si="1"/>
        <v>57</v>
      </c>
      <c r="C63" s="339"/>
      <c r="D63" s="339" t="s">
        <v>201</v>
      </c>
      <c r="E63" s="340">
        <f>SUM(E64:E65)</f>
        <v>129700</v>
      </c>
      <c r="F63" s="340">
        <f>SUM(F64:F65)</f>
        <v>0</v>
      </c>
      <c r="G63" s="340">
        <f t="shared" si="0"/>
        <v>129700</v>
      </c>
    </row>
    <row r="64" spans="2:7" x14ac:dyDescent="0.2">
      <c r="B64" s="321">
        <f t="shared" si="1"/>
        <v>58</v>
      </c>
      <c r="C64" s="3">
        <v>212003</v>
      </c>
      <c r="D64" s="3" t="s">
        <v>237</v>
      </c>
      <c r="E64" s="5">
        <v>39700</v>
      </c>
      <c r="F64" s="5"/>
      <c r="G64" s="5">
        <f t="shared" si="0"/>
        <v>39700</v>
      </c>
    </row>
    <row r="65" spans="2:7" x14ac:dyDescent="0.2">
      <c r="B65" s="321">
        <f t="shared" si="1"/>
        <v>59</v>
      </c>
      <c r="C65" s="3">
        <v>223001</v>
      </c>
      <c r="D65" s="3" t="s">
        <v>239</v>
      </c>
      <c r="E65" s="5">
        <v>90000</v>
      </c>
      <c r="F65" s="5"/>
      <c r="G65" s="5">
        <f t="shared" si="0"/>
        <v>90000</v>
      </c>
    </row>
    <row r="66" spans="2:7" x14ac:dyDescent="0.2">
      <c r="B66" s="321">
        <f t="shared" si="1"/>
        <v>60</v>
      </c>
      <c r="C66" s="339"/>
      <c r="D66" s="339" t="s">
        <v>217</v>
      </c>
      <c r="E66" s="340">
        <f>E67+E68</f>
        <v>167500</v>
      </c>
      <c r="F66" s="340">
        <f>F67+F68</f>
        <v>0</v>
      </c>
      <c r="G66" s="340">
        <f t="shared" si="0"/>
        <v>167500</v>
      </c>
    </row>
    <row r="67" spans="2:7" x14ac:dyDescent="0.2">
      <c r="B67" s="321">
        <f t="shared" si="1"/>
        <v>61</v>
      </c>
      <c r="C67" s="3">
        <v>212004</v>
      </c>
      <c r="D67" s="3" t="s">
        <v>238</v>
      </c>
      <c r="E67" s="5">
        <v>4000</v>
      </c>
      <c r="F67" s="5"/>
      <c r="G67" s="5">
        <f t="shared" si="0"/>
        <v>4000</v>
      </c>
    </row>
    <row r="68" spans="2:7" x14ac:dyDescent="0.2">
      <c r="B68" s="321">
        <f t="shared" si="1"/>
        <v>62</v>
      </c>
      <c r="C68" s="3">
        <v>223001</v>
      </c>
      <c r="D68" s="3" t="s">
        <v>239</v>
      </c>
      <c r="E68" s="5">
        <v>163500</v>
      </c>
      <c r="F68" s="5"/>
      <c r="G68" s="5">
        <f t="shared" si="0"/>
        <v>163500</v>
      </c>
    </row>
    <row r="69" spans="2:7" x14ac:dyDescent="0.2">
      <c r="B69" s="321">
        <f t="shared" si="1"/>
        <v>63</v>
      </c>
      <c r="C69" s="339"/>
      <c r="D69" s="339" t="s">
        <v>207</v>
      </c>
      <c r="E69" s="340">
        <f>E70</f>
        <v>2500</v>
      </c>
      <c r="F69" s="340">
        <f>F70</f>
        <v>0</v>
      </c>
      <c r="G69" s="340">
        <f t="shared" si="0"/>
        <v>2500</v>
      </c>
    </row>
    <row r="70" spans="2:7" x14ac:dyDescent="0.2">
      <c r="B70" s="321">
        <f t="shared" si="1"/>
        <v>64</v>
      </c>
      <c r="C70" s="3">
        <v>292006</v>
      </c>
      <c r="D70" s="3" t="s">
        <v>168</v>
      </c>
      <c r="E70" s="5">
        <v>2500</v>
      </c>
      <c r="F70" s="5"/>
      <c r="G70" s="5">
        <f t="shared" si="0"/>
        <v>2500</v>
      </c>
    </row>
    <row r="71" spans="2:7" x14ac:dyDescent="0.2">
      <c r="B71" s="321">
        <f t="shared" si="1"/>
        <v>65</v>
      </c>
      <c r="C71" s="339"/>
      <c r="D71" s="339" t="s">
        <v>44</v>
      </c>
      <c r="E71" s="340">
        <f>E72+E73</f>
        <v>20050</v>
      </c>
      <c r="F71" s="340">
        <f>F72+F73</f>
        <v>0</v>
      </c>
      <c r="G71" s="340">
        <f t="shared" si="0"/>
        <v>20050</v>
      </c>
    </row>
    <row r="72" spans="2:7" x14ac:dyDescent="0.2">
      <c r="B72" s="321">
        <f t="shared" si="1"/>
        <v>66</v>
      </c>
      <c r="C72" s="3">
        <v>212003</v>
      </c>
      <c r="D72" s="3" t="s">
        <v>237</v>
      </c>
      <c r="E72" s="5">
        <v>50</v>
      </c>
      <c r="F72" s="5"/>
      <c r="G72" s="5">
        <f t="shared" ref="G72:G135" si="2">E72+F72</f>
        <v>50</v>
      </c>
    </row>
    <row r="73" spans="2:7" x14ac:dyDescent="0.2">
      <c r="B73" s="321">
        <f t="shared" si="1"/>
        <v>67</v>
      </c>
      <c r="C73" s="3">
        <v>223001</v>
      </c>
      <c r="D73" s="3" t="s">
        <v>239</v>
      </c>
      <c r="E73" s="5">
        <v>20000</v>
      </c>
      <c r="F73" s="5"/>
      <c r="G73" s="5">
        <f t="shared" si="2"/>
        <v>20000</v>
      </c>
    </row>
    <row r="74" spans="2:7" x14ac:dyDescent="0.2">
      <c r="B74" s="321">
        <f t="shared" ref="B74:B79" si="3">B73+1</f>
        <v>68</v>
      </c>
      <c r="C74" s="339"/>
      <c r="D74" s="339" t="s">
        <v>45</v>
      </c>
      <c r="E74" s="340">
        <f>E75</f>
        <v>2500</v>
      </c>
      <c r="F74" s="340">
        <f>F75</f>
        <v>0</v>
      </c>
      <c r="G74" s="340">
        <f t="shared" si="2"/>
        <v>2500</v>
      </c>
    </row>
    <row r="75" spans="2:7" x14ac:dyDescent="0.2">
      <c r="B75" s="321">
        <f t="shared" si="3"/>
        <v>69</v>
      </c>
      <c r="C75" s="3">
        <v>292006</v>
      </c>
      <c r="D75" s="3" t="s">
        <v>168</v>
      </c>
      <c r="E75" s="5">
        <v>2500</v>
      </c>
      <c r="F75" s="5"/>
      <c r="G75" s="5">
        <f t="shared" si="2"/>
        <v>2500</v>
      </c>
    </row>
    <row r="76" spans="2:7" x14ac:dyDescent="0.2">
      <c r="B76" s="321">
        <f t="shared" si="3"/>
        <v>70</v>
      </c>
      <c r="C76" s="339"/>
      <c r="D76" s="339" t="s">
        <v>46</v>
      </c>
      <c r="E76" s="340">
        <f>SUM(E77:E79)</f>
        <v>172250</v>
      </c>
      <c r="F76" s="340">
        <f>SUM(F77:F79)</f>
        <v>0</v>
      </c>
      <c r="G76" s="340">
        <f t="shared" si="2"/>
        <v>172250</v>
      </c>
    </row>
    <row r="77" spans="2:7" x14ac:dyDescent="0.2">
      <c r="B77" s="321">
        <f t="shared" si="3"/>
        <v>71</v>
      </c>
      <c r="C77" s="3">
        <v>212002</v>
      </c>
      <c r="D77" s="3" t="s">
        <v>258</v>
      </c>
      <c r="E77" s="5">
        <v>250</v>
      </c>
      <c r="F77" s="5"/>
      <c r="G77" s="5">
        <f t="shared" si="2"/>
        <v>250</v>
      </c>
    </row>
    <row r="78" spans="2:7" x14ac:dyDescent="0.2">
      <c r="B78" s="321">
        <f t="shared" si="3"/>
        <v>72</v>
      </c>
      <c r="C78" s="3">
        <v>212003</v>
      </c>
      <c r="D78" s="3" t="s">
        <v>237</v>
      </c>
      <c r="E78" s="5">
        <v>500</v>
      </c>
      <c r="F78" s="5"/>
      <c r="G78" s="5">
        <f t="shared" si="2"/>
        <v>500</v>
      </c>
    </row>
    <row r="79" spans="2:7" x14ac:dyDescent="0.2">
      <c r="B79" s="321">
        <f t="shared" si="3"/>
        <v>73</v>
      </c>
      <c r="C79" s="3">
        <v>223001</v>
      </c>
      <c r="D79" s="3" t="s">
        <v>239</v>
      </c>
      <c r="E79" s="5">
        <v>171500</v>
      </c>
      <c r="F79" s="5"/>
      <c r="G79" s="5">
        <f t="shared" si="2"/>
        <v>171500</v>
      </c>
    </row>
    <row r="80" spans="2:7" x14ac:dyDescent="0.2">
      <c r="B80" s="321">
        <f t="shared" ref="B80:B138" si="4">B79+1</f>
        <v>74</v>
      </c>
      <c r="C80" s="339"/>
      <c r="D80" s="339" t="s">
        <v>48</v>
      </c>
      <c r="E80" s="340">
        <f>E81+E82</f>
        <v>25700</v>
      </c>
      <c r="F80" s="340">
        <f>F81+F82</f>
        <v>0</v>
      </c>
      <c r="G80" s="340">
        <f t="shared" si="2"/>
        <v>25700</v>
      </c>
    </row>
    <row r="81" spans="2:7" x14ac:dyDescent="0.2">
      <c r="B81" s="321">
        <f t="shared" si="4"/>
        <v>75</v>
      </c>
      <c r="C81" s="3">
        <v>212002</v>
      </c>
      <c r="D81" s="3" t="s">
        <v>258</v>
      </c>
      <c r="E81" s="5">
        <v>700</v>
      </c>
      <c r="F81" s="5"/>
      <c r="G81" s="5">
        <f t="shared" si="2"/>
        <v>700</v>
      </c>
    </row>
    <row r="82" spans="2:7" ht="13.5" thickBot="1" x14ac:dyDescent="0.25">
      <c r="B82" s="321">
        <f t="shared" si="4"/>
        <v>76</v>
      </c>
      <c r="C82" s="271">
        <v>223001</v>
      </c>
      <c r="D82" s="271" t="s">
        <v>239</v>
      </c>
      <c r="E82" s="272">
        <v>25000</v>
      </c>
      <c r="F82" s="272"/>
      <c r="G82" s="272">
        <f t="shared" si="2"/>
        <v>25000</v>
      </c>
    </row>
    <row r="83" spans="2:7" ht="15.75" thickBot="1" x14ac:dyDescent="0.3">
      <c r="B83" s="321">
        <f t="shared" si="4"/>
        <v>77</v>
      </c>
      <c r="C83" s="335">
        <v>3</v>
      </c>
      <c r="D83" s="335" t="s">
        <v>8</v>
      </c>
      <c r="E83" s="336">
        <f>E84</f>
        <v>38955</v>
      </c>
      <c r="F83" s="336">
        <f>F84</f>
        <v>0</v>
      </c>
      <c r="G83" s="336">
        <f t="shared" si="2"/>
        <v>38955</v>
      </c>
    </row>
    <row r="84" spans="2:7" x14ac:dyDescent="0.2">
      <c r="B84" s="321">
        <f t="shared" si="4"/>
        <v>78</v>
      </c>
      <c r="C84" s="337">
        <v>220</v>
      </c>
      <c r="D84" s="337" t="s">
        <v>211</v>
      </c>
      <c r="E84" s="338">
        <f>E85</f>
        <v>38955</v>
      </c>
      <c r="F84" s="338">
        <f>F85</f>
        <v>0</v>
      </c>
      <c r="G84" s="338">
        <f t="shared" si="2"/>
        <v>38955</v>
      </c>
    </row>
    <row r="85" spans="2:7" ht="13.5" thickBot="1" x14ac:dyDescent="0.25">
      <c r="B85" s="321">
        <f t="shared" si="4"/>
        <v>79</v>
      </c>
      <c r="C85" s="3">
        <v>223002</v>
      </c>
      <c r="D85" s="3" t="s">
        <v>69</v>
      </c>
      <c r="E85" s="5">
        <v>38955</v>
      </c>
      <c r="F85" s="5"/>
      <c r="G85" s="5">
        <f t="shared" si="2"/>
        <v>38955</v>
      </c>
    </row>
    <row r="86" spans="2:7" ht="15.75" thickBot="1" x14ac:dyDescent="0.3">
      <c r="B86" s="321">
        <f t="shared" si="4"/>
        <v>80</v>
      </c>
      <c r="C86" s="335">
        <v>4</v>
      </c>
      <c r="D86" s="335" t="s">
        <v>84</v>
      </c>
      <c r="E86" s="336">
        <f>E87+E91+E95+E99+E103+E107+E111+E115+E119+E123+E127+E131+E135+E139+E141+E143+E146</f>
        <v>1037989</v>
      </c>
      <c r="F86" s="336">
        <f>F87+F91+F95+F99+F103+F107+F111+F115+F119+F123+F127+F131+F135+F139+F141+F143+F146</f>
        <v>77828</v>
      </c>
      <c r="G86" s="336">
        <f t="shared" si="2"/>
        <v>1115817</v>
      </c>
    </row>
    <row r="87" spans="2:7" x14ac:dyDescent="0.2">
      <c r="B87" s="321">
        <f t="shared" si="4"/>
        <v>81</v>
      </c>
      <c r="C87" s="337"/>
      <c r="D87" s="337" t="s">
        <v>65</v>
      </c>
      <c r="E87" s="338">
        <f>SUM(E88:E90)</f>
        <v>49742</v>
      </c>
      <c r="F87" s="338">
        <f>SUM(F88:F90)</f>
        <v>0</v>
      </c>
      <c r="G87" s="338">
        <f t="shared" si="2"/>
        <v>49742</v>
      </c>
    </row>
    <row r="88" spans="2:7" x14ac:dyDescent="0.2">
      <c r="B88" s="321">
        <f t="shared" si="4"/>
        <v>82</v>
      </c>
      <c r="C88" s="3">
        <v>223001</v>
      </c>
      <c r="D88" s="3" t="s">
        <v>239</v>
      </c>
      <c r="E88" s="5">
        <f>4032+2+256</f>
        <v>4290</v>
      </c>
      <c r="F88" s="5"/>
      <c r="G88" s="5">
        <f t="shared" si="2"/>
        <v>4290</v>
      </c>
    </row>
    <row r="89" spans="2:7" x14ac:dyDescent="0.2">
      <c r="B89" s="321">
        <f t="shared" si="4"/>
        <v>83</v>
      </c>
      <c r="C89" s="3">
        <v>223002</v>
      </c>
      <c r="D89" s="3" t="s">
        <v>69</v>
      </c>
      <c r="E89" s="5">
        <v>16170</v>
      </c>
      <c r="F89" s="5"/>
      <c r="G89" s="5">
        <f t="shared" si="2"/>
        <v>16170</v>
      </c>
    </row>
    <row r="90" spans="2:7" x14ac:dyDescent="0.2">
      <c r="B90" s="321">
        <f t="shared" si="4"/>
        <v>84</v>
      </c>
      <c r="C90" s="3">
        <v>223003</v>
      </c>
      <c r="D90" s="3" t="s">
        <v>70</v>
      </c>
      <c r="E90" s="5">
        <v>29282</v>
      </c>
      <c r="F90" s="5"/>
      <c r="G90" s="5">
        <f t="shared" si="2"/>
        <v>29282</v>
      </c>
    </row>
    <row r="91" spans="2:7" x14ac:dyDescent="0.2">
      <c r="B91" s="321">
        <f t="shared" si="4"/>
        <v>85</v>
      </c>
      <c r="C91" s="339"/>
      <c r="D91" s="339" t="s">
        <v>227</v>
      </c>
      <c r="E91" s="340">
        <f>SUM(E92:E94)</f>
        <v>110852</v>
      </c>
      <c r="F91" s="340">
        <f>SUM(F92:F94)</f>
        <v>0</v>
      </c>
      <c r="G91" s="340">
        <f t="shared" si="2"/>
        <v>110852</v>
      </c>
    </row>
    <row r="92" spans="2:7" x14ac:dyDescent="0.2">
      <c r="B92" s="321">
        <f t="shared" si="4"/>
        <v>86</v>
      </c>
      <c r="C92" s="3">
        <v>223001</v>
      </c>
      <c r="D92" s="3" t="s">
        <v>239</v>
      </c>
      <c r="E92" s="5">
        <f>8631+548</f>
        <v>9179</v>
      </c>
      <c r="F92" s="5"/>
      <c r="G92" s="5">
        <f t="shared" si="2"/>
        <v>9179</v>
      </c>
    </row>
    <row r="93" spans="2:7" x14ac:dyDescent="0.2">
      <c r="B93" s="321">
        <f t="shared" si="4"/>
        <v>87</v>
      </c>
      <c r="C93" s="3">
        <v>223002</v>
      </c>
      <c r="D93" s="3" t="s">
        <v>69</v>
      </c>
      <c r="E93" s="5">
        <v>38588</v>
      </c>
      <c r="F93" s="5"/>
      <c r="G93" s="5">
        <f t="shared" si="2"/>
        <v>38588</v>
      </c>
    </row>
    <row r="94" spans="2:7" x14ac:dyDescent="0.2">
      <c r="B94" s="321">
        <f t="shared" si="4"/>
        <v>88</v>
      </c>
      <c r="C94" s="3">
        <v>223003</v>
      </c>
      <c r="D94" s="3" t="s">
        <v>70</v>
      </c>
      <c r="E94" s="5">
        <v>63085</v>
      </c>
      <c r="F94" s="5"/>
      <c r="G94" s="5">
        <f t="shared" si="2"/>
        <v>63085</v>
      </c>
    </row>
    <row r="95" spans="2:7" x14ac:dyDescent="0.2">
      <c r="B95" s="321">
        <f t="shared" si="4"/>
        <v>89</v>
      </c>
      <c r="C95" s="339"/>
      <c r="D95" s="339" t="s">
        <v>64</v>
      </c>
      <c r="E95" s="340">
        <f>SUM(E96:E98)</f>
        <v>48954</v>
      </c>
      <c r="F95" s="340">
        <f>SUM(F96:F98)</f>
        <v>0</v>
      </c>
      <c r="G95" s="340">
        <f t="shared" si="2"/>
        <v>48954</v>
      </c>
    </row>
    <row r="96" spans="2:7" x14ac:dyDescent="0.2">
      <c r="B96" s="321">
        <f t="shared" si="4"/>
        <v>90</v>
      </c>
      <c r="C96" s="3">
        <v>223001</v>
      </c>
      <c r="D96" s="3" t="s">
        <v>239</v>
      </c>
      <c r="E96" s="5">
        <f>8631-3807</f>
        <v>4824</v>
      </c>
      <c r="F96" s="5"/>
      <c r="G96" s="5">
        <f t="shared" si="2"/>
        <v>4824</v>
      </c>
    </row>
    <row r="97" spans="2:7" x14ac:dyDescent="0.2">
      <c r="B97" s="321">
        <f t="shared" si="4"/>
        <v>91</v>
      </c>
      <c r="C97" s="3">
        <v>223002</v>
      </c>
      <c r="D97" s="3" t="s">
        <v>69</v>
      </c>
      <c r="E97" s="5">
        <v>15068</v>
      </c>
      <c r="F97" s="5"/>
      <c r="G97" s="5">
        <f t="shared" si="2"/>
        <v>15068</v>
      </c>
    </row>
    <row r="98" spans="2:7" x14ac:dyDescent="0.2">
      <c r="B98" s="321">
        <f t="shared" si="4"/>
        <v>92</v>
      </c>
      <c r="C98" s="3">
        <v>223003</v>
      </c>
      <c r="D98" s="3" t="s">
        <v>70</v>
      </c>
      <c r="E98" s="5">
        <v>29062</v>
      </c>
      <c r="F98" s="5"/>
      <c r="G98" s="5">
        <f t="shared" si="2"/>
        <v>29062</v>
      </c>
    </row>
    <row r="99" spans="2:7" x14ac:dyDescent="0.2">
      <c r="B99" s="321">
        <f t="shared" si="4"/>
        <v>93</v>
      </c>
      <c r="C99" s="339"/>
      <c r="D99" s="339" t="s">
        <v>96</v>
      </c>
      <c r="E99" s="340">
        <f>SUM(E100:E102)</f>
        <v>67670</v>
      </c>
      <c r="F99" s="340">
        <f>SUM(F100:F102)</f>
        <v>0</v>
      </c>
      <c r="G99" s="340">
        <f t="shared" si="2"/>
        <v>67670</v>
      </c>
    </row>
    <row r="100" spans="2:7" x14ac:dyDescent="0.2">
      <c r="B100" s="321">
        <f t="shared" si="4"/>
        <v>94</v>
      </c>
      <c r="C100" s="3">
        <v>223001</v>
      </c>
      <c r="D100" s="3" t="s">
        <v>239</v>
      </c>
      <c r="E100" s="5">
        <f>5796+368</f>
        <v>6164</v>
      </c>
      <c r="F100" s="5"/>
      <c r="G100" s="5">
        <f t="shared" si="2"/>
        <v>6164</v>
      </c>
    </row>
    <row r="101" spans="2:7" x14ac:dyDescent="0.2">
      <c r="B101" s="321">
        <f t="shared" si="4"/>
        <v>95</v>
      </c>
      <c r="C101" s="3">
        <v>223002</v>
      </c>
      <c r="D101" s="3" t="s">
        <v>69</v>
      </c>
      <c r="E101" s="5">
        <v>21683</v>
      </c>
      <c r="F101" s="5"/>
      <c r="G101" s="5">
        <f t="shared" si="2"/>
        <v>21683</v>
      </c>
    </row>
    <row r="102" spans="2:7" x14ac:dyDescent="0.2">
      <c r="B102" s="321">
        <f t="shared" si="4"/>
        <v>96</v>
      </c>
      <c r="C102" s="3">
        <v>223003</v>
      </c>
      <c r="D102" s="3" t="s">
        <v>70</v>
      </c>
      <c r="E102" s="5">
        <v>39823</v>
      </c>
      <c r="F102" s="5"/>
      <c r="G102" s="5">
        <f t="shared" si="2"/>
        <v>39823</v>
      </c>
    </row>
    <row r="103" spans="2:7" x14ac:dyDescent="0.2">
      <c r="B103" s="321">
        <f t="shared" si="4"/>
        <v>97</v>
      </c>
      <c r="C103" s="339"/>
      <c r="D103" s="339" t="s">
        <v>99</v>
      </c>
      <c r="E103" s="340">
        <f>SUM(E104:E106)</f>
        <v>63353</v>
      </c>
      <c r="F103" s="340">
        <f>SUM(F104:F106)</f>
        <v>0</v>
      </c>
      <c r="G103" s="340">
        <f t="shared" si="2"/>
        <v>63353</v>
      </c>
    </row>
    <row r="104" spans="2:7" x14ac:dyDescent="0.2">
      <c r="B104" s="321">
        <f t="shared" si="4"/>
        <v>98</v>
      </c>
      <c r="C104" s="3">
        <v>223001</v>
      </c>
      <c r="D104" s="3" t="s">
        <v>239</v>
      </c>
      <c r="E104" s="5">
        <f>5103+324</f>
        <v>5427</v>
      </c>
      <c r="F104" s="5"/>
      <c r="G104" s="5">
        <f t="shared" si="2"/>
        <v>5427</v>
      </c>
    </row>
    <row r="105" spans="2:7" x14ac:dyDescent="0.2">
      <c r="B105" s="321">
        <f t="shared" si="4"/>
        <v>99</v>
      </c>
      <c r="C105" s="3">
        <v>223002</v>
      </c>
      <c r="D105" s="3" t="s">
        <v>69</v>
      </c>
      <c r="E105" s="5">
        <v>20948</v>
      </c>
      <c r="F105" s="5"/>
      <c r="G105" s="5">
        <f t="shared" si="2"/>
        <v>20948</v>
      </c>
    </row>
    <row r="106" spans="2:7" x14ac:dyDescent="0.2">
      <c r="B106" s="321">
        <f t="shared" si="4"/>
        <v>100</v>
      </c>
      <c r="C106" s="3">
        <v>223003</v>
      </c>
      <c r="D106" s="3" t="s">
        <v>70</v>
      </c>
      <c r="E106" s="5">
        <v>36978</v>
      </c>
      <c r="F106" s="5"/>
      <c r="G106" s="5">
        <f t="shared" si="2"/>
        <v>36978</v>
      </c>
    </row>
    <row r="107" spans="2:7" x14ac:dyDescent="0.2">
      <c r="B107" s="321">
        <f t="shared" si="4"/>
        <v>101</v>
      </c>
      <c r="C107" s="339"/>
      <c r="D107" s="339" t="s">
        <v>86</v>
      </c>
      <c r="E107" s="340">
        <f>SUM(E108:E110)</f>
        <v>95140</v>
      </c>
      <c r="F107" s="340">
        <f>SUM(F108:F110)</f>
        <v>0</v>
      </c>
      <c r="G107" s="340">
        <f t="shared" si="2"/>
        <v>95140</v>
      </c>
    </row>
    <row r="108" spans="2:7" x14ac:dyDescent="0.2">
      <c r="B108" s="321">
        <f t="shared" si="4"/>
        <v>102</v>
      </c>
      <c r="C108" s="3">
        <v>223001</v>
      </c>
      <c r="D108" s="3" t="s">
        <v>239</v>
      </c>
      <c r="E108" s="5">
        <f>7749+492</f>
        <v>8241</v>
      </c>
      <c r="F108" s="5"/>
      <c r="G108" s="5">
        <f t="shared" si="2"/>
        <v>8241</v>
      </c>
    </row>
    <row r="109" spans="2:7" x14ac:dyDescent="0.2">
      <c r="B109" s="321">
        <f t="shared" si="4"/>
        <v>103</v>
      </c>
      <c r="C109" s="3">
        <v>223002</v>
      </c>
      <c r="D109" s="3" t="s">
        <v>69</v>
      </c>
      <c r="E109" s="5">
        <v>30870</v>
      </c>
      <c r="F109" s="5"/>
      <c r="G109" s="5">
        <f t="shared" si="2"/>
        <v>30870</v>
      </c>
    </row>
    <row r="110" spans="2:7" x14ac:dyDescent="0.2">
      <c r="B110" s="321">
        <f t="shared" si="4"/>
        <v>104</v>
      </c>
      <c r="C110" s="3">
        <v>223003</v>
      </c>
      <c r="D110" s="3" t="s">
        <v>70</v>
      </c>
      <c r="E110" s="5">
        <v>56029</v>
      </c>
      <c r="F110" s="5"/>
      <c r="G110" s="5">
        <f t="shared" si="2"/>
        <v>56029</v>
      </c>
    </row>
    <row r="111" spans="2:7" x14ac:dyDescent="0.2">
      <c r="B111" s="321">
        <f t="shared" si="4"/>
        <v>105</v>
      </c>
      <c r="C111" s="339"/>
      <c r="D111" s="339" t="s">
        <v>83</v>
      </c>
      <c r="E111" s="340">
        <f>SUM(E112:E114)</f>
        <v>102468</v>
      </c>
      <c r="F111" s="340">
        <f>SUM(F112:F114)</f>
        <v>0</v>
      </c>
      <c r="G111" s="340">
        <f t="shared" si="2"/>
        <v>102468</v>
      </c>
    </row>
    <row r="112" spans="2:7" x14ac:dyDescent="0.2">
      <c r="B112" s="321">
        <f t="shared" si="4"/>
        <v>106</v>
      </c>
      <c r="C112" s="3">
        <v>223001</v>
      </c>
      <c r="D112" s="3" t="s">
        <v>239</v>
      </c>
      <c r="E112" s="5">
        <f>8253+524</f>
        <v>8777</v>
      </c>
      <c r="F112" s="5"/>
      <c r="G112" s="5">
        <f t="shared" si="2"/>
        <v>8777</v>
      </c>
    </row>
    <row r="113" spans="2:7" x14ac:dyDescent="0.2">
      <c r="B113" s="321">
        <f t="shared" si="4"/>
        <v>107</v>
      </c>
      <c r="C113" s="3">
        <v>223002</v>
      </c>
      <c r="D113" s="3" t="s">
        <v>69</v>
      </c>
      <c r="E113" s="5">
        <v>34178</v>
      </c>
      <c r="F113" s="5"/>
      <c r="G113" s="5">
        <f t="shared" si="2"/>
        <v>34178</v>
      </c>
    </row>
    <row r="114" spans="2:7" x14ac:dyDescent="0.2">
      <c r="B114" s="321">
        <f t="shared" si="4"/>
        <v>108</v>
      </c>
      <c r="C114" s="3">
        <v>223003</v>
      </c>
      <c r="D114" s="3" t="s">
        <v>70</v>
      </c>
      <c r="E114" s="5">
        <v>59513</v>
      </c>
      <c r="F114" s="5"/>
      <c r="G114" s="5">
        <f t="shared" si="2"/>
        <v>59513</v>
      </c>
    </row>
    <row r="115" spans="2:7" x14ac:dyDescent="0.2">
      <c r="B115" s="321">
        <f t="shared" si="4"/>
        <v>109</v>
      </c>
      <c r="C115" s="339"/>
      <c r="D115" s="339" t="s">
        <v>103</v>
      </c>
      <c r="E115" s="340">
        <f>SUM(E116:E118)</f>
        <v>59554</v>
      </c>
      <c r="F115" s="340">
        <f>SUM(F116:F118)</f>
        <v>0</v>
      </c>
      <c r="G115" s="340">
        <f t="shared" si="2"/>
        <v>59554</v>
      </c>
    </row>
    <row r="116" spans="2:7" x14ac:dyDescent="0.2">
      <c r="B116" s="321">
        <f t="shared" si="4"/>
        <v>110</v>
      </c>
      <c r="C116" s="3">
        <v>223001</v>
      </c>
      <c r="D116" s="3" t="s">
        <v>239</v>
      </c>
      <c r="E116" s="5">
        <f>4599+292</f>
        <v>4891</v>
      </c>
      <c r="F116" s="5"/>
      <c r="G116" s="5">
        <f t="shared" si="2"/>
        <v>4891</v>
      </c>
    </row>
    <row r="117" spans="2:7" x14ac:dyDescent="0.2">
      <c r="B117" s="321">
        <f t="shared" si="4"/>
        <v>111</v>
      </c>
      <c r="C117" s="3">
        <v>223002</v>
      </c>
      <c r="D117" s="3" t="s">
        <v>69</v>
      </c>
      <c r="E117" s="5">
        <v>19845</v>
      </c>
      <c r="F117" s="5"/>
      <c r="G117" s="5">
        <f t="shared" si="2"/>
        <v>19845</v>
      </c>
    </row>
    <row r="118" spans="2:7" x14ac:dyDescent="0.2">
      <c r="B118" s="321">
        <f t="shared" si="4"/>
        <v>112</v>
      </c>
      <c r="C118" s="3">
        <v>223003</v>
      </c>
      <c r="D118" s="3" t="s">
        <v>70</v>
      </c>
      <c r="E118" s="5">
        <v>34818</v>
      </c>
      <c r="F118" s="5"/>
      <c r="G118" s="5">
        <f t="shared" si="2"/>
        <v>34818</v>
      </c>
    </row>
    <row r="119" spans="2:7" x14ac:dyDescent="0.2">
      <c r="B119" s="321">
        <f t="shared" si="4"/>
        <v>113</v>
      </c>
      <c r="C119" s="339"/>
      <c r="D119" s="339" t="s">
        <v>61</v>
      </c>
      <c r="E119" s="340">
        <f>SUM(E120:E122)</f>
        <v>93565</v>
      </c>
      <c r="F119" s="340">
        <f>SUM(F120:F122)</f>
        <v>0</v>
      </c>
      <c r="G119" s="340">
        <f t="shared" si="2"/>
        <v>93565</v>
      </c>
    </row>
    <row r="120" spans="2:7" x14ac:dyDescent="0.2">
      <c r="B120" s="321">
        <f t="shared" si="4"/>
        <v>114</v>
      </c>
      <c r="C120" s="3">
        <v>223001</v>
      </c>
      <c r="D120" s="3" t="s">
        <v>239</v>
      </c>
      <c r="E120" s="5">
        <f>7560+480</f>
        <v>8040</v>
      </c>
      <c r="F120" s="5"/>
      <c r="G120" s="5">
        <f t="shared" si="2"/>
        <v>8040</v>
      </c>
    </row>
    <row r="121" spans="2:7" x14ac:dyDescent="0.2">
      <c r="B121" s="321">
        <f t="shared" si="4"/>
        <v>115</v>
      </c>
      <c r="C121" s="3">
        <v>223002</v>
      </c>
      <c r="D121" s="3" t="s">
        <v>69</v>
      </c>
      <c r="E121" s="5">
        <v>31238</v>
      </c>
      <c r="F121" s="5"/>
      <c r="G121" s="5">
        <f t="shared" si="2"/>
        <v>31238</v>
      </c>
    </row>
    <row r="122" spans="2:7" x14ac:dyDescent="0.2">
      <c r="B122" s="321">
        <f t="shared" si="4"/>
        <v>116</v>
      </c>
      <c r="C122" s="3">
        <v>223003</v>
      </c>
      <c r="D122" s="3" t="s">
        <v>70</v>
      </c>
      <c r="E122" s="5">
        <v>54287</v>
      </c>
      <c r="F122" s="5"/>
      <c r="G122" s="5">
        <f t="shared" si="2"/>
        <v>54287</v>
      </c>
    </row>
    <row r="123" spans="2:7" x14ac:dyDescent="0.2">
      <c r="B123" s="321">
        <f t="shared" si="4"/>
        <v>117</v>
      </c>
      <c r="C123" s="339"/>
      <c r="D123" s="339" t="s">
        <v>66</v>
      </c>
      <c r="E123" s="340">
        <f>SUM(E124:E126)</f>
        <v>91099</v>
      </c>
      <c r="F123" s="340">
        <f>SUM(F124:F126)</f>
        <v>0</v>
      </c>
      <c r="G123" s="340">
        <f t="shared" si="2"/>
        <v>91099</v>
      </c>
    </row>
    <row r="124" spans="2:7" x14ac:dyDescent="0.2">
      <c r="B124" s="321">
        <f t="shared" si="4"/>
        <v>118</v>
      </c>
      <c r="C124" s="3">
        <v>223001</v>
      </c>
      <c r="D124" s="3" t="s">
        <v>239</v>
      </c>
      <c r="E124" s="5">
        <f>7812+496</f>
        <v>8308</v>
      </c>
      <c r="F124" s="5"/>
      <c r="G124" s="5">
        <f t="shared" si="2"/>
        <v>8308</v>
      </c>
    </row>
    <row r="125" spans="2:7" x14ac:dyDescent="0.2">
      <c r="B125" s="321">
        <f t="shared" si="4"/>
        <v>119</v>
      </c>
      <c r="C125" s="3">
        <v>223002</v>
      </c>
      <c r="D125" s="3" t="s">
        <v>69</v>
      </c>
      <c r="E125" s="5">
        <v>29298</v>
      </c>
      <c r="F125" s="5"/>
      <c r="G125" s="5">
        <f t="shared" si="2"/>
        <v>29298</v>
      </c>
    </row>
    <row r="126" spans="2:7" x14ac:dyDescent="0.2">
      <c r="B126" s="321">
        <f t="shared" si="4"/>
        <v>120</v>
      </c>
      <c r="C126" s="3">
        <v>223003</v>
      </c>
      <c r="D126" s="3" t="s">
        <v>70</v>
      </c>
      <c r="E126" s="5">
        <v>53493</v>
      </c>
      <c r="F126" s="5"/>
      <c r="G126" s="5">
        <f t="shared" si="2"/>
        <v>53493</v>
      </c>
    </row>
    <row r="127" spans="2:7" x14ac:dyDescent="0.2">
      <c r="B127" s="321">
        <f t="shared" si="4"/>
        <v>121</v>
      </c>
      <c r="C127" s="339"/>
      <c r="D127" s="339" t="s">
        <v>67</v>
      </c>
      <c r="E127" s="340">
        <f>SUM(E128:E130)</f>
        <v>70942</v>
      </c>
      <c r="F127" s="340">
        <f>SUM(F128:F130)</f>
        <v>0</v>
      </c>
      <c r="G127" s="340">
        <f t="shared" si="2"/>
        <v>70942</v>
      </c>
    </row>
    <row r="128" spans="2:7" x14ac:dyDescent="0.2">
      <c r="B128" s="321">
        <f t="shared" si="4"/>
        <v>122</v>
      </c>
      <c r="C128" s="3">
        <v>223001</v>
      </c>
      <c r="D128" s="3" t="s">
        <v>239</v>
      </c>
      <c r="E128" s="5">
        <f>5355+340</f>
        <v>5695</v>
      </c>
      <c r="F128" s="5"/>
      <c r="G128" s="5">
        <f t="shared" si="2"/>
        <v>5695</v>
      </c>
    </row>
    <row r="129" spans="2:7" x14ac:dyDescent="0.2">
      <c r="B129" s="321">
        <f t="shared" si="4"/>
        <v>123</v>
      </c>
      <c r="C129" s="3">
        <v>223002</v>
      </c>
      <c r="D129" s="3" t="s">
        <v>69</v>
      </c>
      <c r="E129" s="5">
        <v>23153</v>
      </c>
      <c r="F129" s="5"/>
      <c r="G129" s="5">
        <f t="shared" si="2"/>
        <v>23153</v>
      </c>
    </row>
    <row r="130" spans="2:7" x14ac:dyDescent="0.2">
      <c r="B130" s="321">
        <f t="shared" si="4"/>
        <v>124</v>
      </c>
      <c r="C130" s="3">
        <v>223003</v>
      </c>
      <c r="D130" s="3" t="s">
        <v>70</v>
      </c>
      <c r="E130" s="5">
        <v>42094</v>
      </c>
      <c r="F130" s="5"/>
      <c r="G130" s="5">
        <f t="shared" si="2"/>
        <v>42094</v>
      </c>
    </row>
    <row r="131" spans="2:7" x14ac:dyDescent="0.2">
      <c r="B131" s="321">
        <f t="shared" si="4"/>
        <v>125</v>
      </c>
      <c r="C131" s="339"/>
      <c r="D131" s="339" t="s">
        <v>94</v>
      </c>
      <c r="E131" s="340">
        <f>SUM(E132:E134)</f>
        <v>27680</v>
      </c>
      <c r="F131" s="340">
        <f>SUM(F132:F134)</f>
        <v>0</v>
      </c>
      <c r="G131" s="340">
        <f t="shared" si="2"/>
        <v>27680</v>
      </c>
    </row>
    <row r="132" spans="2:7" x14ac:dyDescent="0.2">
      <c r="B132" s="321">
        <f t="shared" si="4"/>
        <v>126</v>
      </c>
      <c r="C132" s="3">
        <v>223001</v>
      </c>
      <c r="D132" s="3" t="s">
        <v>239</v>
      </c>
      <c r="E132" s="5">
        <f>2205+140</f>
        <v>2345</v>
      </c>
      <c r="F132" s="5"/>
      <c r="G132" s="5">
        <f t="shared" si="2"/>
        <v>2345</v>
      </c>
    </row>
    <row r="133" spans="2:7" x14ac:dyDescent="0.2">
      <c r="B133" s="321">
        <f t="shared" si="4"/>
        <v>127</v>
      </c>
      <c r="C133" s="3">
        <v>223002</v>
      </c>
      <c r="D133" s="3" t="s">
        <v>69</v>
      </c>
      <c r="E133" s="5">
        <v>8820</v>
      </c>
      <c r="F133" s="5"/>
      <c r="G133" s="5">
        <f t="shared" si="2"/>
        <v>8820</v>
      </c>
    </row>
    <row r="134" spans="2:7" x14ac:dyDescent="0.2">
      <c r="B134" s="321">
        <f t="shared" si="4"/>
        <v>128</v>
      </c>
      <c r="C134" s="3">
        <v>223003</v>
      </c>
      <c r="D134" s="3" t="s">
        <v>70</v>
      </c>
      <c r="E134" s="5">
        <v>16515</v>
      </c>
      <c r="F134" s="5"/>
      <c r="G134" s="5">
        <f t="shared" si="2"/>
        <v>16515</v>
      </c>
    </row>
    <row r="135" spans="2:7" x14ac:dyDescent="0.2">
      <c r="B135" s="321">
        <f t="shared" si="4"/>
        <v>129</v>
      </c>
      <c r="C135" s="339"/>
      <c r="D135" s="339" t="s">
        <v>197</v>
      </c>
      <c r="E135" s="340">
        <f>SUM(E136:E138)</f>
        <v>26465</v>
      </c>
      <c r="F135" s="340">
        <f>SUM(F136:F138)</f>
        <v>0</v>
      </c>
      <c r="G135" s="340">
        <f t="shared" si="2"/>
        <v>26465</v>
      </c>
    </row>
    <row r="136" spans="2:7" x14ac:dyDescent="0.2">
      <c r="B136" s="321">
        <f t="shared" si="4"/>
        <v>130</v>
      </c>
      <c r="C136" s="3">
        <v>223001</v>
      </c>
      <c r="D136" s="3" t="s">
        <v>239</v>
      </c>
      <c r="E136" s="5">
        <f>2520+160</f>
        <v>2680</v>
      </c>
      <c r="F136" s="5"/>
      <c r="G136" s="5">
        <f t="shared" ref="G136:G203" si="5">E136+F136</f>
        <v>2680</v>
      </c>
    </row>
    <row r="137" spans="2:7" x14ac:dyDescent="0.2">
      <c r="B137" s="321">
        <f t="shared" si="4"/>
        <v>131</v>
      </c>
      <c r="C137" s="3">
        <v>223002</v>
      </c>
      <c r="D137" s="3" t="s">
        <v>69</v>
      </c>
      <c r="E137" s="5">
        <v>6983</v>
      </c>
      <c r="F137" s="5"/>
      <c r="G137" s="5">
        <f t="shared" si="5"/>
        <v>6983</v>
      </c>
    </row>
    <row r="138" spans="2:7" x14ac:dyDescent="0.2">
      <c r="B138" s="321">
        <f t="shared" si="4"/>
        <v>132</v>
      </c>
      <c r="C138" s="3">
        <v>223003</v>
      </c>
      <c r="D138" s="3" t="s">
        <v>70</v>
      </c>
      <c r="E138" s="5">
        <v>16802</v>
      </c>
      <c r="F138" s="5"/>
      <c r="G138" s="5">
        <f t="shared" si="5"/>
        <v>16802</v>
      </c>
    </row>
    <row r="139" spans="2:7" x14ac:dyDescent="0.2">
      <c r="B139" s="321">
        <f t="shared" ref="B139:B206" si="6">B138+1</f>
        <v>133</v>
      </c>
      <c r="C139" s="339"/>
      <c r="D139" s="339" t="s">
        <v>68</v>
      </c>
      <c r="E139" s="340">
        <f>E140</f>
        <v>10290</v>
      </c>
      <c r="F139" s="340">
        <f>F140</f>
        <v>0</v>
      </c>
      <c r="G139" s="340">
        <f t="shared" si="5"/>
        <v>10290</v>
      </c>
    </row>
    <row r="140" spans="2:7" x14ac:dyDescent="0.2">
      <c r="B140" s="321">
        <f t="shared" si="6"/>
        <v>134</v>
      </c>
      <c r="C140" s="3">
        <v>223002</v>
      </c>
      <c r="D140" s="3" t="s">
        <v>69</v>
      </c>
      <c r="E140" s="5">
        <v>10290</v>
      </c>
      <c r="F140" s="5"/>
      <c r="G140" s="5">
        <f t="shared" si="5"/>
        <v>10290</v>
      </c>
    </row>
    <row r="141" spans="2:7" x14ac:dyDescent="0.2">
      <c r="B141" s="321">
        <f t="shared" si="6"/>
        <v>135</v>
      </c>
      <c r="C141" s="339"/>
      <c r="D141" s="339" t="s">
        <v>106</v>
      </c>
      <c r="E141" s="340">
        <f>E142</f>
        <v>36016</v>
      </c>
      <c r="F141" s="340">
        <f>F142</f>
        <v>0</v>
      </c>
      <c r="G141" s="340">
        <f t="shared" si="5"/>
        <v>36016</v>
      </c>
    </row>
    <row r="142" spans="2:7" x14ac:dyDescent="0.2">
      <c r="B142" s="321">
        <f t="shared" si="6"/>
        <v>136</v>
      </c>
      <c r="C142" s="3">
        <v>223002</v>
      </c>
      <c r="D142" s="3" t="s">
        <v>69</v>
      </c>
      <c r="E142" s="5">
        <v>36016</v>
      </c>
      <c r="F142" s="5"/>
      <c r="G142" s="5">
        <f t="shared" si="5"/>
        <v>36016</v>
      </c>
    </row>
    <row r="143" spans="2:7" x14ac:dyDescent="0.2">
      <c r="B143" s="321">
        <f t="shared" si="6"/>
        <v>137</v>
      </c>
      <c r="C143" s="339"/>
      <c r="D143" s="339" t="s">
        <v>90</v>
      </c>
      <c r="E143" s="340">
        <f>SUM(E144:E145)</f>
        <v>71199</v>
      </c>
      <c r="F143" s="340">
        <f>SUM(F144:F145)</f>
        <v>0</v>
      </c>
      <c r="G143" s="340">
        <f t="shared" si="5"/>
        <v>71199</v>
      </c>
    </row>
    <row r="144" spans="2:7" x14ac:dyDescent="0.2">
      <c r="B144" s="321">
        <f t="shared" si="6"/>
        <v>138</v>
      </c>
      <c r="C144" s="3">
        <v>223001</v>
      </c>
      <c r="D144" s="3" t="s">
        <v>239</v>
      </c>
      <c r="E144" s="5">
        <f>8127+516</f>
        <v>8643</v>
      </c>
      <c r="F144" s="5"/>
      <c r="G144" s="5">
        <f t="shared" si="5"/>
        <v>8643</v>
      </c>
    </row>
    <row r="145" spans="2:7" x14ac:dyDescent="0.2">
      <c r="B145" s="321">
        <f t="shared" si="6"/>
        <v>139</v>
      </c>
      <c r="C145" s="3">
        <v>223003</v>
      </c>
      <c r="D145" s="3" t="s">
        <v>70</v>
      </c>
      <c r="E145" s="5">
        <v>62556</v>
      </c>
      <c r="F145" s="5"/>
      <c r="G145" s="5">
        <f t="shared" si="5"/>
        <v>62556</v>
      </c>
    </row>
    <row r="146" spans="2:7" x14ac:dyDescent="0.2">
      <c r="B146" s="321">
        <f t="shared" si="6"/>
        <v>140</v>
      </c>
      <c r="C146" s="339"/>
      <c r="D146" s="339" t="s">
        <v>315</v>
      </c>
      <c r="E146" s="340">
        <f>SUM(E147:E150)</f>
        <v>13000</v>
      </c>
      <c r="F146" s="340">
        <f>SUM(F147:F150)</f>
        <v>77828</v>
      </c>
      <c r="G146" s="340">
        <f t="shared" si="5"/>
        <v>90828</v>
      </c>
    </row>
    <row r="147" spans="2:7" x14ac:dyDescent="0.2">
      <c r="B147" s="321">
        <f t="shared" si="6"/>
        <v>141</v>
      </c>
      <c r="C147" s="3">
        <v>212003</v>
      </c>
      <c r="D147" s="3" t="s">
        <v>237</v>
      </c>
      <c r="E147" s="5">
        <f>4000+3600+3400</f>
        <v>11000</v>
      </c>
      <c r="F147" s="5"/>
      <c r="G147" s="5">
        <f t="shared" si="5"/>
        <v>11000</v>
      </c>
    </row>
    <row r="148" spans="2:7" x14ac:dyDescent="0.2">
      <c r="B148" s="321">
        <f t="shared" si="6"/>
        <v>142</v>
      </c>
      <c r="C148" s="3">
        <v>212004</v>
      </c>
      <c r="D148" s="3" t="s">
        <v>238</v>
      </c>
      <c r="E148" s="5">
        <v>0</v>
      </c>
      <c r="F148" s="5">
        <v>1800</v>
      </c>
      <c r="G148" s="5">
        <f t="shared" si="5"/>
        <v>1800</v>
      </c>
    </row>
    <row r="149" spans="2:7" x14ac:dyDescent="0.2">
      <c r="B149" s="321">
        <f t="shared" si="6"/>
        <v>143</v>
      </c>
      <c r="C149" s="3">
        <v>292012</v>
      </c>
      <c r="D149" s="3" t="s">
        <v>221</v>
      </c>
      <c r="E149" s="5">
        <v>0</v>
      </c>
      <c r="F149" s="5">
        <v>76028</v>
      </c>
      <c r="G149" s="5">
        <f>F149</f>
        <v>76028</v>
      </c>
    </row>
    <row r="150" spans="2:7" ht="13.5" thickBot="1" x14ac:dyDescent="0.25">
      <c r="B150" s="321">
        <f t="shared" si="6"/>
        <v>144</v>
      </c>
      <c r="C150" s="3">
        <v>292019</v>
      </c>
      <c r="D150" s="3" t="s">
        <v>223</v>
      </c>
      <c r="E150" s="5">
        <v>2000</v>
      </c>
      <c r="F150" s="5"/>
      <c r="G150" s="5">
        <f t="shared" si="5"/>
        <v>2000</v>
      </c>
    </row>
    <row r="151" spans="2:7" ht="15.75" thickBot="1" x14ac:dyDescent="0.3">
      <c r="B151" s="321">
        <f t="shared" si="6"/>
        <v>145</v>
      </c>
      <c r="C151" s="335">
        <v>5</v>
      </c>
      <c r="D151" s="335" t="s">
        <v>107</v>
      </c>
      <c r="E151" s="336">
        <f>E152+E155+E161+E163+E165+E167+E173+E179+E184+E187</f>
        <v>1624500</v>
      </c>
      <c r="F151" s="336">
        <f>F152+F155+F161+F163+F165+F167+F173+F179+F184+F187</f>
        <v>0</v>
      </c>
      <c r="G151" s="336">
        <f t="shared" si="5"/>
        <v>1624500</v>
      </c>
    </row>
    <row r="152" spans="2:7" x14ac:dyDescent="0.2">
      <c r="B152" s="321">
        <f t="shared" si="6"/>
        <v>146</v>
      </c>
      <c r="C152" s="339">
        <v>290</v>
      </c>
      <c r="D152" s="339" t="s">
        <v>169</v>
      </c>
      <c r="E152" s="340">
        <f>SUM(E153:E154)</f>
        <v>21300</v>
      </c>
      <c r="F152" s="340">
        <f>SUM(F153:F154)</f>
        <v>0</v>
      </c>
      <c r="G152" s="340">
        <f t="shared" si="5"/>
        <v>21300</v>
      </c>
    </row>
    <row r="153" spans="2:7" x14ac:dyDescent="0.2">
      <c r="B153" s="321">
        <f t="shared" si="6"/>
        <v>147</v>
      </c>
      <c r="C153" s="3">
        <v>292012</v>
      </c>
      <c r="D153" s="3" t="s">
        <v>221</v>
      </c>
      <c r="E153" s="5">
        <v>2000</v>
      </c>
      <c r="F153" s="5"/>
      <c r="G153" s="5">
        <f t="shared" si="5"/>
        <v>2000</v>
      </c>
    </row>
    <row r="154" spans="2:7" x14ac:dyDescent="0.2">
      <c r="B154" s="321">
        <f t="shared" si="6"/>
        <v>148</v>
      </c>
      <c r="C154" s="3">
        <v>292019</v>
      </c>
      <c r="D154" s="3" t="s">
        <v>223</v>
      </c>
      <c r="E154" s="5">
        <v>19300</v>
      </c>
      <c r="F154" s="5"/>
      <c r="G154" s="5">
        <f t="shared" si="5"/>
        <v>19300</v>
      </c>
    </row>
    <row r="155" spans="2:7" x14ac:dyDescent="0.2">
      <c r="B155" s="321">
        <f t="shared" si="6"/>
        <v>149</v>
      </c>
      <c r="C155" s="339"/>
      <c r="D155" s="339" t="s">
        <v>71</v>
      </c>
      <c r="E155" s="340">
        <f>SUM(E156:E160)</f>
        <v>119100</v>
      </c>
      <c r="F155" s="340">
        <f>SUM(F156:F159)</f>
        <v>0</v>
      </c>
      <c r="G155" s="340">
        <f t="shared" si="5"/>
        <v>119100</v>
      </c>
    </row>
    <row r="156" spans="2:7" x14ac:dyDescent="0.2">
      <c r="B156" s="321">
        <f t="shared" si="6"/>
        <v>150</v>
      </c>
      <c r="C156" s="3">
        <v>223001</v>
      </c>
      <c r="D156" s="3" t="s">
        <v>395</v>
      </c>
      <c r="E156" s="5">
        <f>32000-7000</f>
        <v>25000</v>
      </c>
      <c r="F156" s="5"/>
      <c r="G156" s="5">
        <f t="shared" si="5"/>
        <v>25000</v>
      </c>
    </row>
    <row r="157" spans="2:7" x14ac:dyDescent="0.2">
      <c r="B157" s="321">
        <f t="shared" si="6"/>
        <v>151</v>
      </c>
      <c r="C157" s="3">
        <v>223002</v>
      </c>
      <c r="D157" s="3" t="s">
        <v>69</v>
      </c>
      <c r="E157" s="5">
        <f>77000-7000</f>
        <v>70000</v>
      </c>
      <c r="F157" s="5"/>
      <c r="G157" s="5">
        <f t="shared" si="5"/>
        <v>70000</v>
      </c>
    </row>
    <row r="158" spans="2:7" x14ac:dyDescent="0.2">
      <c r="B158" s="321">
        <f t="shared" si="6"/>
        <v>152</v>
      </c>
      <c r="C158" s="3">
        <v>223003</v>
      </c>
      <c r="D158" s="3" t="s">
        <v>316</v>
      </c>
      <c r="E158" s="5">
        <v>8900</v>
      </c>
      <c r="F158" s="5"/>
      <c r="G158" s="5">
        <f t="shared" si="5"/>
        <v>8900</v>
      </c>
    </row>
    <row r="159" spans="2:7" x14ac:dyDescent="0.2">
      <c r="B159" s="321">
        <f t="shared" si="6"/>
        <v>153</v>
      </c>
      <c r="C159" s="3">
        <v>223003</v>
      </c>
      <c r="D159" s="3" t="s">
        <v>317</v>
      </c>
      <c r="E159" s="5">
        <v>1200</v>
      </c>
      <c r="F159" s="5"/>
      <c r="G159" s="5">
        <f t="shared" si="5"/>
        <v>1200</v>
      </c>
    </row>
    <row r="160" spans="2:7" x14ac:dyDescent="0.2">
      <c r="B160" s="321">
        <f t="shared" si="6"/>
        <v>154</v>
      </c>
      <c r="C160" s="3">
        <v>223003</v>
      </c>
      <c r="D160" s="3" t="s">
        <v>653</v>
      </c>
      <c r="E160" s="5">
        <v>14000</v>
      </c>
      <c r="F160" s="5"/>
      <c r="G160" s="5">
        <f t="shared" si="5"/>
        <v>14000</v>
      </c>
    </row>
    <row r="161" spans="2:13" x14ac:dyDescent="0.2">
      <c r="B161" s="321">
        <f t="shared" si="6"/>
        <v>155</v>
      </c>
      <c r="C161" s="339"/>
      <c r="D161" s="339" t="s">
        <v>318</v>
      </c>
      <c r="E161" s="340">
        <f>E162</f>
        <v>5200</v>
      </c>
      <c r="F161" s="340">
        <f>F162</f>
        <v>0</v>
      </c>
      <c r="G161" s="340">
        <f t="shared" si="5"/>
        <v>5200</v>
      </c>
    </row>
    <row r="162" spans="2:13" x14ac:dyDescent="0.2">
      <c r="B162" s="321">
        <f t="shared" si="6"/>
        <v>156</v>
      </c>
      <c r="C162" s="3">
        <v>223001</v>
      </c>
      <c r="D162" s="3" t="s">
        <v>239</v>
      </c>
      <c r="E162" s="5">
        <v>5200</v>
      </c>
      <c r="F162" s="5"/>
      <c r="G162" s="5">
        <f t="shared" si="5"/>
        <v>5200</v>
      </c>
    </row>
    <row r="163" spans="2:13" x14ac:dyDescent="0.2">
      <c r="B163" s="321">
        <f t="shared" si="6"/>
        <v>157</v>
      </c>
      <c r="C163" s="339"/>
      <c r="D163" s="339" t="s">
        <v>108</v>
      </c>
      <c r="E163" s="340">
        <f>E164</f>
        <v>5000</v>
      </c>
      <c r="F163" s="340">
        <f>F164</f>
        <v>0</v>
      </c>
      <c r="G163" s="340">
        <f t="shared" si="5"/>
        <v>5000</v>
      </c>
    </row>
    <row r="164" spans="2:13" x14ac:dyDescent="0.2">
      <c r="B164" s="321">
        <f t="shared" si="6"/>
        <v>158</v>
      </c>
      <c r="C164" s="3">
        <v>223001</v>
      </c>
      <c r="D164" s="3" t="s">
        <v>239</v>
      </c>
      <c r="E164" s="5">
        <v>5000</v>
      </c>
      <c r="F164" s="5"/>
      <c r="G164" s="5">
        <f t="shared" si="5"/>
        <v>5000</v>
      </c>
    </row>
    <row r="165" spans="2:13" x14ac:dyDescent="0.2">
      <c r="B165" s="321">
        <f t="shared" si="6"/>
        <v>159</v>
      </c>
      <c r="C165" s="339"/>
      <c r="D165" s="339" t="s">
        <v>320</v>
      </c>
      <c r="E165" s="340">
        <f>E166</f>
        <v>6500</v>
      </c>
      <c r="F165" s="340">
        <f>F166</f>
        <v>0</v>
      </c>
      <c r="G165" s="340">
        <f t="shared" si="5"/>
        <v>6500</v>
      </c>
    </row>
    <row r="166" spans="2:13" x14ac:dyDescent="0.2">
      <c r="B166" s="321">
        <f t="shared" si="6"/>
        <v>160</v>
      </c>
      <c r="C166" s="3">
        <v>223001</v>
      </c>
      <c r="D166" s="3" t="s">
        <v>319</v>
      </c>
      <c r="E166" s="5">
        <v>6500</v>
      </c>
      <c r="F166" s="5"/>
      <c r="G166" s="5">
        <f t="shared" si="5"/>
        <v>6500</v>
      </c>
    </row>
    <row r="167" spans="2:13" x14ac:dyDescent="0.2">
      <c r="B167" s="321">
        <f t="shared" si="6"/>
        <v>161</v>
      </c>
      <c r="C167" s="339"/>
      <c r="D167" s="339" t="s">
        <v>59</v>
      </c>
      <c r="E167" s="340">
        <f>SUM(E168:E172)</f>
        <v>416600</v>
      </c>
      <c r="F167" s="340">
        <f>SUM(F168:F172)</f>
        <v>0</v>
      </c>
      <c r="G167" s="340">
        <f t="shared" si="5"/>
        <v>416600</v>
      </c>
    </row>
    <row r="168" spans="2:13" x14ac:dyDescent="0.2">
      <c r="B168" s="321">
        <f t="shared" si="6"/>
        <v>162</v>
      </c>
      <c r="C168" s="3">
        <v>212003</v>
      </c>
      <c r="D168" s="3" t="s">
        <v>237</v>
      </c>
      <c r="E168" s="5">
        <v>70</v>
      </c>
      <c r="F168" s="5"/>
      <c r="G168" s="5">
        <f t="shared" si="5"/>
        <v>70</v>
      </c>
    </row>
    <row r="169" spans="2:13" s="79" customFormat="1" x14ac:dyDescent="0.2">
      <c r="B169" s="321">
        <f t="shared" si="6"/>
        <v>163</v>
      </c>
      <c r="C169" s="341">
        <v>223001</v>
      </c>
      <c r="D169" s="6" t="s">
        <v>321</v>
      </c>
      <c r="E169" s="5">
        <v>58500</v>
      </c>
      <c r="F169" s="5"/>
      <c r="G169" s="5">
        <f t="shared" si="5"/>
        <v>58500</v>
      </c>
      <c r="H169" s="20"/>
      <c r="I169" s="20"/>
      <c r="J169" s="20"/>
      <c r="K169" s="20"/>
      <c r="L169" s="20"/>
      <c r="M169" s="20"/>
    </row>
    <row r="170" spans="2:13" x14ac:dyDescent="0.2">
      <c r="B170" s="321">
        <f t="shared" si="6"/>
        <v>164</v>
      </c>
      <c r="C170" s="3">
        <v>223001</v>
      </c>
      <c r="D170" s="3" t="s">
        <v>319</v>
      </c>
      <c r="E170" s="5">
        <v>179000</v>
      </c>
      <c r="F170" s="5"/>
      <c r="G170" s="5">
        <f t="shared" si="5"/>
        <v>179000</v>
      </c>
    </row>
    <row r="171" spans="2:13" x14ac:dyDescent="0.2">
      <c r="B171" s="321">
        <f t="shared" si="6"/>
        <v>165</v>
      </c>
      <c r="C171" s="3">
        <v>223001</v>
      </c>
      <c r="D171" s="3" t="s">
        <v>322</v>
      </c>
      <c r="E171" s="5">
        <f>125000+40000</f>
        <v>165000</v>
      </c>
      <c r="F171" s="5"/>
      <c r="G171" s="5">
        <f t="shared" si="5"/>
        <v>165000</v>
      </c>
    </row>
    <row r="172" spans="2:13" x14ac:dyDescent="0.2">
      <c r="B172" s="321">
        <f t="shared" si="6"/>
        <v>166</v>
      </c>
      <c r="C172" s="3">
        <v>223001</v>
      </c>
      <c r="D172" s="3" t="s">
        <v>448</v>
      </c>
      <c r="E172" s="5">
        <v>14030</v>
      </c>
      <c r="F172" s="5"/>
      <c r="G172" s="5">
        <f t="shared" si="5"/>
        <v>14030</v>
      </c>
    </row>
    <row r="173" spans="2:13" ht="25.5" x14ac:dyDescent="0.2">
      <c r="B173" s="321">
        <f t="shared" si="6"/>
        <v>167</v>
      </c>
      <c r="C173" s="339"/>
      <c r="D173" s="342" t="s">
        <v>324</v>
      </c>
      <c r="E173" s="343">
        <f>SUM(E174:E178)</f>
        <v>452600</v>
      </c>
      <c r="F173" s="343">
        <f>SUM(F174:F178)</f>
        <v>0</v>
      </c>
      <c r="G173" s="343">
        <f t="shared" si="5"/>
        <v>452600</v>
      </c>
    </row>
    <row r="174" spans="2:13" x14ac:dyDescent="0.2">
      <c r="B174" s="321">
        <f t="shared" si="6"/>
        <v>168</v>
      </c>
      <c r="C174" s="3">
        <v>212003</v>
      </c>
      <c r="D174" s="3" t="s">
        <v>237</v>
      </c>
      <c r="E174" s="5">
        <v>400</v>
      </c>
      <c r="F174" s="5"/>
      <c r="G174" s="5">
        <f t="shared" si="5"/>
        <v>400</v>
      </c>
    </row>
    <row r="175" spans="2:13" x14ac:dyDescent="0.2">
      <c r="B175" s="321">
        <f t="shared" si="6"/>
        <v>169</v>
      </c>
      <c r="C175" s="3">
        <v>223001</v>
      </c>
      <c r="D175" s="3" t="s">
        <v>319</v>
      </c>
      <c r="E175" s="5">
        <v>117000</v>
      </c>
      <c r="F175" s="5"/>
      <c r="G175" s="5">
        <f t="shared" si="5"/>
        <v>117000</v>
      </c>
    </row>
    <row r="176" spans="2:13" x14ac:dyDescent="0.2">
      <c r="B176" s="321">
        <f t="shared" si="6"/>
        <v>170</v>
      </c>
      <c r="C176" s="3">
        <v>223001</v>
      </c>
      <c r="D176" s="3" t="s">
        <v>322</v>
      </c>
      <c r="E176" s="5">
        <f>156200+50000</f>
        <v>206200</v>
      </c>
      <c r="F176" s="5"/>
      <c r="G176" s="5">
        <f t="shared" si="5"/>
        <v>206200</v>
      </c>
    </row>
    <row r="177" spans="2:7" x14ac:dyDescent="0.2">
      <c r="B177" s="321">
        <f t="shared" si="6"/>
        <v>171</v>
      </c>
      <c r="C177" s="3">
        <v>223001</v>
      </c>
      <c r="D177" s="3" t="s">
        <v>321</v>
      </c>
      <c r="E177" s="5">
        <v>117000</v>
      </c>
      <c r="F177" s="5"/>
      <c r="G177" s="5">
        <f t="shared" si="5"/>
        <v>117000</v>
      </c>
    </row>
    <row r="178" spans="2:7" x14ac:dyDescent="0.2">
      <c r="B178" s="321">
        <f t="shared" si="6"/>
        <v>172</v>
      </c>
      <c r="C178" s="3">
        <v>223001</v>
      </c>
      <c r="D178" s="3" t="s">
        <v>448</v>
      </c>
      <c r="E178" s="5">
        <v>12000</v>
      </c>
      <c r="F178" s="5"/>
      <c r="G178" s="5">
        <f t="shared" si="5"/>
        <v>12000</v>
      </c>
    </row>
    <row r="179" spans="2:7" x14ac:dyDescent="0.2">
      <c r="B179" s="321">
        <f t="shared" si="6"/>
        <v>173</v>
      </c>
      <c r="C179" s="339"/>
      <c r="D179" s="339" t="s">
        <v>325</v>
      </c>
      <c r="E179" s="340">
        <f>SUM(E180:E183)</f>
        <v>288200</v>
      </c>
      <c r="F179" s="340">
        <f>SUM(F180:F183)</f>
        <v>0</v>
      </c>
      <c r="G179" s="340">
        <f t="shared" si="5"/>
        <v>288200</v>
      </c>
    </row>
    <row r="180" spans="2:7" x14ac:dyDescent="0.2">
      <c r="B180" s="321">
        <f t="shared" si="6"/>
        <v>174</v>
      </c>
      <c r="C180" s="3">
        <v>223001</v>
      </c>
      <c r="D180" s="3" t="s">
        <v>319</v>
      </c>
      <c r="E180" s="5">
        <v>175000</v>
      </c>
      <c r="F180" s="5"/>
      <c r="G180" s="5">
        <f t="shared" si="5"/>
        <v>175000</v>
      </c>
    </row>
    <row r="181" spans="2:7" x14ac:dyDescent="0.2">
      <c r="B181" s="321">
        <f t="shared" si="6"/>
        <v>175</v>
      </c>
      <c r="C181" s="3">
        <v>223001</v>
      </c>
      <c r="D181" s="3" t="s">
        <v>323</v>
      </c>
      <c r="E181" s="5">
        <v>19000</v>
      </c>
      <c r="F181" s="5"/>
      <c r="G181" s="5">
        <f t="shared" si="5"/>
        <v>19000</v>
      </c>
    </row>
    <row r="182" spans="2:7" x14ac:dyDescent="0.2">
      <c r="B182" s="321">
        <f t="shared" si="6"/>
        <v>176</v>
      </c>
      <c r="C182" s="3">
        <v>223001</v>
      </c>
      <c r="D182" s="3" t="s">
        <v>322</v>
      </c>
      <c r="E182" s="5">
        <f>64400+20000</f>
        <v>84400</v>
      </c>
      <c r="F182" s="5"/>
      <c r="G182" s="5">
        <f t="shared" si="5"/>
        <v>84400</v>
      </c>
    </row>
    <row r="183" spans="2:7" x14ac:dyDescent="0.2">
      <c r="B183" s="321">
        <f t="shared" si="6"/>
        <v>177</v>
      </c>
      <c r="C183" s="3">
        <v>223001</v>
      </c>
      <c r="D183" s="3" t="s">
        <v>448</v>
      </c>
      <c r="E183" s="5">
        <v>9800</v>
      </c>
      <c r="F183" s="5"/>
      <c r="G183" s="5">
        <f t="shared" si="5"/>
        <v>9800</v>
      </c>
    </row>
    <row r="184" spans="2:7" x14ac:dyDescent="0.2">
      <c r="B184" s="321">
        <f t="shared" si="6"/>
        <v>178</v>
      </c>
      <c r="C184" s="339"/>
      <c r="D184" s="339" t="s">
        <v>329</v>
      </c>
      <c r="E184" s="340">
        <f>E185+E186</f>
        <v>292500</v>
      </c>
      <c r="F184" s="340">
        <f>F185+F186</f>
        <v>0</v>
      </c>
      <c r="G184" s="340">
        <f t="shared" si="5"/>
        <v>292500</v>
      </c>
    </row>
    <row r="185" spans="2:7" x14ac:dyDescent="0.2">
      <c r="B185" s="321">
        <f t="shared" si="6"/>
        <v>179</v>
      </c>
      <c r="C185" s="3">
        <v>223001</v>
      </c>
      <c r="D185" s="3" t="s">
        <v>326</v>
      </c>
      <c r="E185" s="5">
        <v>290000</v>
      </c>
      <c r="F185" s="5"/>
      <c r="G185" s="5">
        <f t="shared" si="5"/>
        <v>290000</v>
      </c>
    </row>
    <row r="186" spans="2:7" x14ac:dyDescent="0.2">
      <c r="B186" s="321">
        <f t="shared" si="6"/>
        <v>180</v>
      </c>
      <c r="C186" s="3">
        <v>223001</v>
      </c>
      <c r="D186" s="3" t="s">
        <v>327</v>
      </c>
      <c r="E186" s="5">
        <v>2500</v>
      </c>
      <c r="F186" s="5"/>
      <c r="G186" s="5">
        <f t="shared" si="5"/>
        <v>2500</v>
      </c>
    </row>
    <row r="187" spans="2:7" x14ac:dyDescent="0.2">
      <c r="B187" s="321">
        <f t="shared" si="6"/>
        <v>181</v>
      </c>
      <c r="C187" s="339"/>
      <c r="D187" s="339" t="s">
        <v>328</v>
      </c>
      <c r="E187" s="340">
        <f>E188</f>
        <v>17500</v>
      </c>
      <c r="F187" s="340">
        <f>F188</f>
        <v>0</v>
      </c>
      <c r="G187" s="340">
        <f t="shared" si="5"/>
        <v>17500</v>
      </c>
    </row>
    <row r="188" spans="2:7" ht="13.5" thickBot="1" x14ac:dyDescent="0.25">
      <c r="B188" s="321">
        <f t="shared" si="6"/>
        <v>182</v>
      </c>
      <c r="C188" s="271">
        <v>223001</v>
      </c>
      <c r="D188" s="271" t="s">
        <v>239</v>
      </c>
      <c r="E188" s="272">
        <v>17500</v>
      </c>
      <c r="F188" s="272"/>
      <c r="G188" s="272">
        <f t="shared" si="5"/>
        <v>17500</v>
      </c>
    </row>
    <row r="189" spans="2:7" ht="15.75" thickBot="1" x14ac:dyDescent="0.3">
      <c r="B189" s="321">
        <f t="shared" si="6"/>
        <v>183</v>
      </c>
      <c r="C189" s="335">
        <v>6</v>
      </c>
      <c r="D189" s="335" t="s">
        <v>286</v>
      </c>
      <c r="E189" s="336">
        <f>E190+E192+E196</f>
        <v>83667</v>
      </c>
      <c r="F189" s="336">
        <f>F190+F192+F196</f>
        <v>0</v>
      </c>
      <c r="G189" s="336">
        <f t="shared" si="5"/>
        <v>83667</v>
      </c>
    </row>
    <row r="190" spans="2:7" x14ac:dyDescent="0.2">
      <c r="B190" s="321">
        <f t="shared" si="6"/>
        <v>184</v>
      </c>
      <c r="C190" s="337">
        <v>210</v>
      </c>
      <c r="D190" s="337" t="s">
        <v>236</v>
      </c>
      <c r="E190" s="338">
        <f>E191</f>
        <v>1350</v>
      </c>
      <c r="F190" s="338">
        <f>F191</f>
        <v>0</v>
      </c>
      <c r="G190" s="338">
        <f t="shared" si="5"/>
        <v>1350</v>
      </c>
    </row>
    <row r="191" spans="2:7" x14ac:dyDescent="0.2">
      <c r="B191" s="321">
        <f t="shared" si="6"/>
        <v>185</v>
      </c>
      <c r="C191" s="3">
        <v>212003</v>
      </c>
      <c r="D191" s="3" t="s">
        <v>237</v>
      </c>
      <c r="E191" s="5">
        <v>1350</v>
      </c>
      <c r="F191" s="5"/>
      <c r="G191" s="5">
        <f t="shared" si="5"/>
        <v>1350</v>
      </c>
    </row>
    <row r="192" spans="2:7" x14ac:dyDescent="0.2">
      <c r="B192" s="321">
        <f t="shared" si="6"/>
        <v>186</v>
      </c>
      <c r="C192" s="339">
        <v>220</v>
      </c>
      <c r="D192" s="339" t="s">
        <v>211</v>
      </c>
      <c r="E192" s="340">
        <f>SUM(E193:E195)</f>
        <v>81917</v>
      </c>
      <c r="F192" s="340">
        <f>SUM(F193:F195)</f>
        <v>0</v>
      </c>
      <c r="G192" s="340">
        <f t="shared" si="5"/>
        <v>81917</v>
      </c>
    </row>
    <row r="193" spans="2:7" x14ac:dyDescent="0.2">
      <c r="B193" s="321">
        <f t="shared" si="6"/>
        <v>187</v>
      </c>
      <c r="C193" s="3">
        <v>223001</v>
      </c>
      <c r="D193" s="3" t="s">
        <v>239</v>
      </c>
      <c r="E193" s="5">
        <v>38560</v>
      </c>
      <c r="F193" s="5"/>
      <c r="G193" s="5">
        <f t="shared" si="5"/>
        <v>38560</v>
      </c>
    </row>
    <row r="194" spans="2:7" x14ac:dyDescent="0.2">
      <c r="B194" s="321">
        <f t="shared" si="6"/>
        <v>188</v>
      </c>
      <c r="C194" s="3">
        <v>223002</v>
      </c>
      <c r="D194" s="3" t="s">
        <v>69</v>
      </c>
      <c r="E194" s="5">
        <f>25080+1464</f>
        <v>26544</v>
      </c>
      <c r="F194" s="5"/>
      <c r="G194" s="5">
        <f t="shared" si="5"/>
        <v>26544</v>
      </c>
    </row>
    <row r="195" spans="2:7" x14ac:dyDescent="0.2">
      <c r="B195" s="321">
        <f t="shared" si="6"/>
        <v>189</v>
      </c>
      <c r="C195" s="3">
        <v>223003</v>
      </c>
      <c r="D195" s="3" t="s">
        <v>70</v>
      </c>
      <c r="E195" s="5">
        <f>15000+1813</f>
        <v>16813</v>
      </c>
      <c r="F195" s="5"/>
      <c r="G195" s="5">
        <f t="shared" si="5"/>
        <v>16813</v>
      </c>
    </row>
    <row r="196" spans="2:7" x14ac:dyDescent="0.2">
      <c r="B196" s="321">
        <f t="shared" si="6"/>
        <v>190</v>
      </c>
      <c r="C196" s="339">
        <v>290</v>
      </c>
      <c r="D196" s="339" t="s">
        <v>169</v>
      </c>
      <c r="E196" s="340">
        <f>SUM(E197:E197)</f>
        <v>400</v>
      </c>
      <c r="F196" s="340">
        <f>SUM(F197:F197)</f>
        <v>0</v>
      </c>
      <c r="G196" s="340">
        <f t="shared" si="5"/>
        <v>400</v>
      </c>
    </row>
    <row r="197" spans="2:7" ht="13.5" thickBot="1" x14ac:dyDescent="0.25">
      <c r="B197" s="321">
        <f t="shared" si="6"/>
        <v>191</v>
      </c>
      <c r="C197" s="3">
        <v>292012</v>
      </c>
      <c r="D197" s="3" t="s">
        <v>221</v>
      </c>
      <c r="E197" s="5">
        <v>400</v>
      </c>
      <c r="F197" s="5"/>
      <c r="G197" s="5">
        <f t="shared" si="5"/>
        <v>400</v>
      </c>
    </row>
    <row r="198" spans="2:7" ht="15.75" thickBot="1" x14ac:dyDescent="0.3">
      <c r="B198" s="321">
        <f t="shared" si="6"/>
        <v>192</v>
      </c>
      <c r="C198" s="335">
        <v>7</v>
      </c>
      <c r="D198" s="335" t="s">
        <v>288</v>
      </c>
      <c r="E198" s="336">
        <f>E202+E199</f>
        <v>124643</v>
      </c>
      <c r="F198" s="336">
        <f>F202+F199</f>
        <v>1200</v>
      </c>
      <c r="G198" s="336">
        <f t="shared" si="5"/>
        <v>125843</v>
      </c>
    </row>
    <row r="199" spans="2:7" x14ac:dyDescent="0.2">
      <c r="B199" s="321">
        <f t="shared" si="6"/>
        <v>193</v>
      </c>
      <c r="C199" s="337">
        <v>210</v>
      </c>
      <c r="D199" s="337" t="s">
        <v>236</v>
      </c>
      <c r="E199" s="338">
        <f>E200</f>
        <v>830</v>
      </c>
      <c r="F199" s="338">
        <f>SUM(F200:F201)</f>
        <v>1200</v>
      </c>
      <c r="G199" s="338">
        <f t="shared" si="5"/>
        <v>2030</v>
      </c>
    </row>
    <row r="200" spans="2:7" x14ac:dyDescent="0.2">
      <c r="B200" s="321">
        <f t="shared" si="6"/>
        <v>194</v>
      </c>
      <c r="C200" s="3">
        <v>212003</v>
      </c>
      <c r="D200" s="3" t="s">
        <v>237</v>
      </c>
      <c r="E200" s="5">
        <v>830</v>
      </c>
      <c r="F200" s="5"/>
      <c r="G200" s="5">
        <f t="shared" si="5"/>
        <v>830</v>
      </c>
    </row>
    <row r="201" spans="2:7" x14ac:dyDescent="0.2">
      <c r="B201" s="321">
        <f t="shared" si="6"/>
        <v>195</v>
      </c>
      <c r="C201" s="3">
        <v>212004</v>
      </c>
      <c r="D201" s="3" t="s">
        <v>238</v>
      </c>
      <c r="E201" s="5">
        <v>0</v>
      </c>
      <c r="F201" s="5">
        <v>1200</v>
      </c>
      <c r="G201" s="5">
        <f t="shared" si="5"/>
        <v>1200</v>
      </c>
    </row>
    <row r="202" spans="2:7" x14ac:dyDescent="0.2">
      <c r="B202" s="321">
        <f t="shared" si="6"/>
        <v>196</v>
      </c>
      <c r="C202" s="339">
        <v>220</v>
      </c>
      <c r="D202" s="339" t="s">
        <v>211</v>
      </c>
      <c r="E202" s="340">
        <f>SUM(E203:E205)</f>
        <v>123813</v>
      </c>
      <c r="F202" s="340">
        <f>SUM(F203:F205)</f>
        <v>0</v>
      </c>
      <c r="G202" s="340">
        <f t="shared" si="5"/>
        <v>123813</v>
      </c>
    </row>
    <row r="203" spans="2:7" x14ac:dyDescent="0.2">
      <c r="B203" s="321">
        <f t="shared" si="6"/>
        <v>197</v>
      </c>
      <c r="C203" s="3">
        <v>223001</v>
      </c>
      <c r="D203" s="3" t="s">
        <v>239</v>
      </c>
      <c r="E203" s="5">
        <v>41200</v>
      </c>
      <c r="F203" s="5"/>
      <c r="G203" s="5">
        <f t="shared" si="5"/>
        <v>41200</v>
      </c>
    </row>
    <row r="204" spans="2:7" x14ac:dyDescent="0.2">
      <c r="B204" s="321">
        <f t="shared" si="6"/>
        <v>198</v>
      </c>
      <c r="C204" s="3">
        <v>223002</v>
      </c>
      <c r="D204" s="3" t="s">
        <v>69</v>
      </c>
      <c r="E204" s="5">
        <f>38250+2048</f>
        <v>40298</v>
      </c>
      <c r="F204" s="5"/>
      <c r="G204" s="5">
        <f t="shared" ref="G204:G280" si="7">E204+F204</f>
        <v>40298</v>
      </c>
    </row>
    <row r="205" spans="2:7" ht="13.5" thickBot="1" x14ac:dyDescent="0.25">
      <c r="B205" s="321">
        <f t="shared" si="6"/>
        <v>199</v>
      </c>
      <c r="C205" s="3">
        <v>223003</v>
      </c>
      <c r="D205" s="3" t="s">
        <v>70</v>
      </c>
      <c r="E205" s="344">
        <f>39700+2615</f>
        <v>42315</v>
      </c>
      <c r="F205" s="344"/>
      <c r="G205" s="344">
        <f t="shared" si="7"/>
        <v>42315</v>
      </c>
    </row>
    <row r="206" spans="2:7" ht="15.75" thickBot="1" x14ac:dyDescent="0.3">
      <c r="B206" s="321">
        <f t="shared" si="6"/>
        <v>200</v>
      </c>
      <c r="C206" s="345">
        <v>8</v>
      </c>
      <c r="D206" s="345" t="s">
        <v>6</v>
      </c>
      <c r="E206" s="346">
        <f>E207+E210</f>
        <v>80755</v>
      </c>
      <c r="F206" s="346">
        <f>F207+F210</f>
        <v>600</v>
      </c>
      <c r="G206" s="346">
        <f t="shared" si="7"/>
        <v>81355</v>
      </c>
    </row>
    <row r="207" spans="2:7" x14ac:dyDescent="0.2">
      <c r="B207" s="321">
        <f t="shared" ref="B207:B245" si="8">B206+1</f>
        <v>201</v>
      </c>
      <c r="C207" s="337">
        <v>210</v>
      </c>
      <c r="D207" s="337" t="s">
        <v>236</v>
      </c>
      <c r="E207" s="338">
        <f>E208</f>
        <v>31755</v>
      </c>
      <c r="F207" s="338">
        <f>SUM(F208:F209)</f>
        <v>600</v>
      </c>
      <c r="G207" s="338">
        <f t="shared" si="7"/>
        <v>32355</v>
      </c>
    </row>
    <row r="208" spans="2:7" x14ac:dyDescent="0.2">
      <c r="B208" s="321">
        <f t="shared" si="8"/>
        <v>202</v>
      </c>
      <c r="C208" s="3">
        <v>212003</v>
      </c>
      <c r="D208" s="3" t="s">
        <v>237</v>
      </c>
      <c r="E208" s="5">
        <f>2240+4120+251+4035+1273+11634+8200+2</f>
        <v>31755</v>
      </c>
      <c r="F208" s="5"/>
      <c r="G208" s="5">
        <f t="shared" si="7"/>
        <v>31755</v>
      </c>
    </row>
    <row r="209" spans="2:7" x14ac:dyDescent="0.2">
      <c r="B209" s="321">
        <f t="shared" si="8"/>
        <v>203</v>
      </c>
      <c r="C209" s="3">
        <v>212004</v>
      </c>
      <c r="D209" s="3" t="s">
        <v>238</v>
      </c>
      <c r="E209" s="5">
        <v>0</v>
      </c>
      <c r="F209" s="5">
        <v>600</v>
      </c>
      <c r="G209" s="5">
        <f>F209</f>
        <v>600</v>
      </c>
    </row>
    <row r="210" spans="2:7" x14ac:dyDescent="0.2">
      <c r="B210" s="321">
        <f t="shared" si="8"/>
        <v>204</v>
      </c>
      <c r="C210" s="339">
        <v>220</v>
      </c>
      <c r="D210" s="339" t="s">
        <v>211</v>
      </c>
      <c r="E210" s="340">
        <f>E211</f>
        <v>49000</v>
      </c>
      <c r="F210" s="340">
        <f>F211</f>
        <v>0</v>
      </c>
      <c r="G210" s="340">
        <f t="shared" si="7"/>
        <v>49000</v>
      </c>
    </row>
    <row r="211" spans="2:7" ht="13.5" thickBot="1" x14ac:dyDescent="0.25">
      <c r="B211" s="321">
        <f t="shared" si="8"/>
        <v>205</v>
      </c>
      <c r="C211" s="3">
        <v>223002</v>
      </c>
      <c r="D211" s="3" t="s">
        <v>69</v>
      </c>
      <c r="E211" s="5">
        <f>46400+2600</f>
        <v>49000</v>
      </c>
      <c r="F211" s="5"/>
      <c r="G211" s="5">
        <f t="shared" si="7"/>
        <v>49000</v>
      </c>
    </row>
    <row r="212" spans="2:7" ht="15.75" thickBot="1" x14ac:dyDescent="0.3">
      <c r="B212" s="321">
        <f t="shared" si="8"/>
        <v>206</v>
      </c>
      <c r="C212" s="335">
        <v>9</v>
      </c>
      <c r="D212" s="335" t="s">
        <v>4</v>
      </c>
      <c r="E212" s="336">
        <f>E215+E213</f>
        <v>130282</v>
      </c>
      <c r="F212" s="336">
        <f>F219</f>
        <v>49027</v>
      </c>
      <c r="G212" s="336">
        <f t="shared" si="7"/>
        <v>179309</v>
      </c>
    </row>
    <row r="213" spans="2:7" x14ac:dyDescent="0.2">
      <c r="B213" s="321">
        <f t="shared" si="8"/>
        <v>207</v>
      </c>
      <c r="C213" s="337">
        <v>210</v>
      </c>
      <c r="D213" s="337" t="s">
        <v>236</v>
      </c>
      <c r="E213" s="338">
        <f>E214</f>
        <v>7800</v>
      </c>
      <c r="F213" s="338">
        <f>F214</f>
        <v>0</v>
      </c>
      <c r="G213" s="338">
        <f t="shared" si="7"/>
        <v>7800</v>
      </c>
    </row>
    <row r="214" spans="2:7" x14ac:dyDescent="0.2">
      <c r="B214" s="321">
        <f t="shared" si="8"/>
        <v>208</v>
      </c>
      <c r="C214" s="3">
        <v>212003</v>
      </c>
      <c r="D214" s="3" t="s">
        <v>237</v>
      </c>
      <c r="E214" s="5">
        <v>7800</v>
      </c>
      <c r="F214" s="5"/>
      <c r="G214" s="5">
        <f t="shared" si="7"/>
        <v>7800</v>
      </c>
    </row>
    <row r="215" spans="2:7" x14ac:dyDescent="0.2">
      <c r="B215" s="321">
        <f t="shared" si="8"/>
        <v>209</v>
      </c>
      <c r="C215" s="339">
        <v>220</v>
      </c>
      <c r="D215" s="339" t="s">
        <v>211</v>
      </c>
      <c r="E215" s="340">
        <f>SUM(E216:E218)</f>
        <v>122482</v>
      </c>
      <c r="F215" s="340">
        <f>SUM(F216:F218)</f>
        <v>0</v>
      </c>
      <c r="G215" s="340">
        <f t="shared" si="7"/>
        <v>122482</v>
      </c>
    </row>
    <row r="216" spans="2:7" x14ac:dyDescent="0.2">
      <c r="B216" s="321">
        <f t="shared" si="8"/>
        <v>210</v>
      </c>
      <c r="C216" s="3">
        <v>223001</v>
      </c>
      <c r="D216" s="3" t="s">
        <v>239</v>
      </c>
      <c r="E216" s="5">
        <f>41256+4</f>
        <v>41260</v>
      </c>
      <c r="F216" s="5"/>
      <c r="G216" s="5">
        <f t="shared" si="7"/>
        <v>41260</v>
      </c>
    </row>
    <row r="217" spans="2:7" x14ac:dyDescent="0.2">
      <c r="B217" s="321">
        <f t="shared" si="8"/>
        <v>211</v>
      </c>
      <c r="C217" s="3">
        <v>223002</v>
      </c>
      <c r="D217" s="3" t="s">
        <v>69</v>
      </c>
      <c r="E217" s="5">
        <f>42750+2464</f>
        <v>45214</v>
      </c>
      <c r="F217" s="5"/>
      <c r="G217" s="5">
        <f t="shared" si="7"/>
        <v>45214</v>
      </c>
    </row>
    <row r="218" spans="2:7" x14ac:dyDescent="0.2">
      <c r="B218" s="321">
        <f t="shared" si="8"/>
        <v>212</v>
      </c>
      <c r="C218" s="3">
        <v>223003</v>
      </c>
      <c r="D218" s="3" t="s">
        <v>70</v>
      </c>
      <c r="E218" s="5">
        <f>34380+1628</f>
        <v>36008</v>
      </c>
      <c r="F218" s="5"/>
      <c r="G218" s="5">
        <f t="shared" si="7"/>
        <v>36008</v>
      </c>
    </row>
    <row r="219" spans="2:7" x14ac:dyDescent="0.2">
      <c r="B219" s="321">
        <f t="shared" si="8"/>
        <v>213</v>
      </c>
      <c r="C219" s="339">
        <v>290</v>
      </c>
      <c r="D219" s="339" t="s">
        <v>169</v>
      </c>
      <c r="E219" s="340">
        <f>SUM(E220:E220)</f>
        <v>0</v>
      </c>
      <c r="F219" s="340">
        <f>SUM(F220:F221)</f>
        <v>49027</v>
      </c>
      <c r="G219" s="340">
        <f t="shared" si="7"/>
        <v>49027</v>
      </c>
    </row>
    <row r="220" spans="2:7" x14ac:dyDescent="0.2">
      <c r="B220" s="321">
        <f t="shared" si="8"/>
        <v>214</v>
      </c>
      <c r="C220" s="3">
        <v>292012</v>
      </c>
      <c r="D220" s="3" t="s">
        <v>221</v>
      </c>
      <c r="E220" s="5">
        <v>0</v>
      </c>
      <c r="F220" s="5">
        <v>16794</v>
      </c>
      <c r="G220" s="5">
        <f t="shared" si="7"/>
        <v>16794</v>
      </c>
    </row>
    <row r="221" spans="2:7" ht="13.5" thickBot="1" x14ac:dyDescent="0.25">
      <c r="B221" s="321">
        <f t="shared" si="8"/>
        <v>215</v>
      </c>
      <c r="C221" s="347">
        <v>292017</v>
      </c>
      <c r="D221" s="347" t="s">
        <v>222</v>
      </c>
      <c r="E221" s="348">
        <v>0</v>
      </c>
      <c r="F221" s="348">
        <v>32233</v>
      </c>
      <c r="G221" s="348">
        <f>F221</f>
        <v>32233</v>
      </c>
    </row>
    <row r="222" spans="2:7" ht="15.75" thickBot="1" x14ac:dyDescent="0.3">
      <c r="B222" s="321">
        <f t="shared" si="8"/>
        <v>216</v>
      </c>
      <c r="C222" s="335">
        <v>10</v>
      </c>
      <c r="D222" s="335" t="s">
        <v>0</v>
      </c>
      <c r="E222" s="336">
        <f>E223+E226</f>
        <v>213034</v>
      </c>
      <c r="F222" s="336">
        <f>F223+F226+F230</f>
        <v>1900</v>
      </c>
      <c r="G222" s="336">
        <f t="shared" si="7"/>
        <v>214934</v>
      </c>
    </row>
    <row r="223" spans="2:7" x14ac:dyDescent="0.2">
      <c r="B223" s="321">
        <f t="shared" si="8"/>
        <v>217</v>
      </c>
      <c r="C223" s="337">
        <v>210</v>
      </c>
      <c r="D223" s="337" t="s">
        <v>236</v>
      </c>
      <c r="E223" s="338">
        <f>E224</f>
        <v>9000</v>
      </c>
      <c r="F223" s="338">
        <f>SUM(F224:F225)</f>
        <v>300</v>
      </c>
      <c r="G223" s="338">
        <f t="shared" si="7"/>
        <v>9300</v>
      </c>
    </row>
    <row r="224" spans="2:7" x14ac:dyDescent="0.2">
      <c r="B224" s="321">
        <f t="shared" si="8"/>
        <v>218</v>
      </c>
      <c r="C224" s="3">
        <v>212003</v>
      </c>
      <c r="D224" s="3" t="s">
        <v>237</v>
      </c>
      <c r="E224" s="5">
        <v>9000</v>
      </c>
      <c r="F224" s="5"/>
      <c r="G224" s="5">
        <f t="shared" si="7"/>
        <v>9000</v>
      </c>
    </row>
    <row r="225" spans="2:7" x14ac:dyDescent="0.2">
      <c r="B225" s="321">
        <f t="shared" si="8"/>
        <v>219</v>
      </c>
      <c r="C225" s="3">
        <v>212004</v>
      </c>
      <c r="D225" s="3" t="s">
        <v>238</v>
      </c>
      <c r="E225" s="5">
        <v>0</v>
      </c>
      <c r="F225" s="5">
        <v>300</v>
      </c>
      <c r="G225" s="5">
        <f t="shared" si="7"/>
        <v>300</v>
      </c>
    </row>
    <row r="226" spans="2:7" x14ac:dyDescent="0.2">
      <c r="B226" s="321">
        <f t="shared" si="8"/>
        <v>220</v>
      </c>
      <c r="C226" s="339">
        <v>220</v>
      </c>
      <c r="D226" s="339" t="s">
        <v>211</v>
      </c>
      <c r="E226" s="340">
        <f>SUM(E227:E229)</f>
        <v>204034</v>
      </c>
      <c r="F226" s="340">
        <f>SUM(F227:F229)</f>
        <v>1500</v>
      </c>
      <c r="G226" s="340">
        <f t="shared" si="7"/>
        <v>205534</v>
      </c>
    </row>
    <row r="227" spans="2:7" x14ac:dyDescent="0.2">
      <c r="B227" s="321">
        <f t="shared" si="8"/>
        <v>221</v>
      </c>
      <c r="C227" s="3">
        <v>223001</v>
      </c>
      <c r="D227" s="3" t="s">
        <v>239</v>
      </c>
      <c r="E227" s="5">
        <v>68810</v>
      </c>
      <c r="F227" s="5"/>
      <c r="G227" s="5">
        <f t="shared" si="7"/>
        <v>68810</v>
      </c>
    </row>
    <row r="228" spans="2:7" x14ac:dyDescent="0.2">
      <c r="B228" s="321">
        <f t="shared" si="8"/>
        <v>222</v>
      </c>
      <c r="C228" s="3">
        <v>223002</v>
      </c>
      <c r="D228" s="3" t="s">
        <v>69</v>
      </c>
      <c r="E228" s="5">
        <f>21000+1208</f>
        <v>22208</v>
      </c>
      <c r="F228" s="5">
        <v>1500</v>
      </c>
      <c r="G228" s="5">
        <f t="shared" si="7"/>
        <v>23708</v>
      </c>
    </row>
    <row r="229" spans="2:7" x14ac:dyDescent="0.2">
      <c r="B229" s="321">
        <f t="shared" si="8"/>
        <v>223</v>
      </c>
      <c r="C229" s="3">
        <v>223003</v>
      </c>
      <c r="D229" s="3" t="s">
        <v>70</v>
      </c>
      <c r="E229" s="5">
        <f>111646+4+1366</f>
        <v>113016</v>
      </c>
      <c r="F229" s="5"/>
      <c r="G229" s="5">
        <f t="shared" si="7"/>
        <v>113016</v>
      </c>
    </row>
    <row r="230" spans="2:7" x14ac:dyDescent="0.2">
      <c r="B230" s="321">
        <f t="shared" si="8"/>
        <v>224</v>
      </c>
      <c r="C230" s="339">
        <v>290</v>
      </c>
      <c r="D230" s="339" t="s">
        <v>169</v>
      </c>
      <c r="E230" s="340">
        <f>SUM(E231:E231)</f>
        <v>0</v>
      </c>
      <c r="F230" s="340">
        <f>F231</f>
        <v>100</v>
      </c>
      <c r="G230" s="340">
        <f>E230+F230</f>
        <v>100</v>
      </c>
    </row>
    <row r="231" spans="2:7" ht="13.5" thickBot="1" x14ac:dyDescent="0.25">
      <c r="B231" s="321">
        <f t="shared" si="8"/>
        <v>225</v>
      </c>
      <c r="C231" s="3">
        <v>292017</v>
      </c>
      <c r="D231" s="3" t="s">
        <v>222</v>
      </c>
      <c r="E231" s="5">
        <v>0</v>
      </c>
      <c r="F231" s="5">
        <v>100</v>
      </c>
      <c r="G231" s="5">
        <f>E231+F231</f>
        <v>100</v>
      </c>
    </row>
    <row r="232" spans="2:7" ht="15.75" thickBot="1" x14ac:dyDescent="0.3">
      <c r="B232" s="321">
        <f t="shared" si="8"/>
        <v>226</v>
      </c>
      <c r="C232" s="335">
        <v>11</v>
      </c>
      <c r="D232" s="335" t="s">
        <v>7</v>
      </c>
      <c r="E232" s="336">
        <f>E233+E236</f>
        <v>250922</v>
      </c>
      <c r="F232" s="336">
        <f>F233+F236</f>
        <v>1500</v>
      </c>
      <c r="G232" s="336">
        <f t="shared" si="7"/>
        <v>252422</v>
      </c>
    </row>
    <row r="233" spans="2:7" x14ac:dyDescent="0.2">
      <c r="B233" s="321">
        <f t="shared" si="8"/>
        <v>227</v>
      </c>
      <c r="C233" s="337">
        <v>210</v>
      </c>
      <c r="D233" s="337" t="s">
        <v>236</v>
      </c>
      <c r="E233" s="338">
        <f>E234</f>
        <v>60045</v>
      </c>
      <c r="F233" s="338">
        <f>SUM(F234:F235)</f>
        <v>1500</v>
      </c>
      <c r="G233" s="338">
        <f t="shared" si="7"/>
        <v>61545</v>
      </c>
    </row>
    <row r="234" spans="2:7" x14ac:dyDescent="0.2">
      <c r="B234" s="321">
        <f t="shared" si="8"/>
        <v>228</v>
      </c>
      <c r="C234" s="3">
        <v>212003</v>
      </c>
      <c r="D234" s="3" t="s">
        <v>237</v>
      </c>
      <c r="E234" s="5">
        <f>60042+3</f>
        <v>60045</v>
      </c>
      <c r="F234" s="5"/>
      <c r="G234" s="5">
        <f t="shared" si="7"/>
        <v>60045</v>
      </c>
    </row>
    <row r="235" spans="2:7" x14ac:dyDescent="0.2">
      <c r="B235" s="321">
        <f t="shared" si="8"/>
        <v>229</v>
      </c>
      <c r="C235" s="3">
        <v>212004</v>
      </c>
      <c r="D235" s="3" t="s">
        <v>238</v>
      </c>
      <c r="E235" s="5">
        <v>0</v>
      </c>
      <c r="F235" s="5">
        <v>1500</v>
      </c>
      <c r="G235" s="5">
        <f t="shared" si="7"/>
        <v>1500</v>
      </c>
    </row>
    <row r="236" spans="2:7" x14ac:dyDescent="0.2">
      <c r="B236" s="321">
        <f t="shared" si="8"/>
        <v>230</v>
      </c>
      <c r="C236" s="339">
        <v>220</v>
      </c>
      <c r="D236" s="339" t="s">
        <v>211</v>
      </c>
      <c r="E236" s="340">
        <f>SUM(E237:E239)</f>
        <v>190877</v>
      </c>
      <c r="F236" s="340">
        <f>SUM(F237:F239)</f>
        <v>0</v>
      </c>
      <c r="G236" s="340">
        <f t="shared" si="7"/>
        <v>190877</v>
      </c>
    </row>
    <row r="237" spans="2:7" x14ac:dyDescent="0.2">
      <c r="B237" s="321">
        <f t="shared" si="8"/>
        <v>231</v>
      </c>
      <c r="C237" s="3">
        <v>223001</v>
      </c>
      <c r="D237" s="3" t="s">
        <v>239</v>
      </c>
      <c r="E237" s="5">
        <v>87890</v>
      </c>
      <c r="F237" s="5"/>
      <c r="G237" s="5">
        <f t="shared" si="7"/>
        <v>87890</v>
      </c>
    </row>
    <row r="238" spans="2:7" x14ac:dyDescent="0.2">
      <c r="B238" s="321">
        <f t="shared" si="8"/>
        <v>232</v>
      </c>
      <c r="C238" s="3">
        <v>223002</v>
      </c>
      <c r="D238" s="3" t="s">
        <v>69</v>
      </c>
      <c r="E238" s="5">
        <f>44000+2360</f>
        <v>46360</v>
      </c>
      <c r="F238" s="5"/>
      <c r="G238" s="5">
        <f t="shared" si="7"/>
        <v>46360</v>
      </c>
    </row>
    <row r="239" spans="2:7" ht="13.5" thickBot="1" x14ac:dyDescent="0.25">
      <c r="B239" s="321">
        <f t="shared" si="8"/>
        <v>233</v>
      </c>
      <c r="C239" s="3">
        <v>223003</v>
      </c>
      <c r="D239" s="3" t="s">
        <v>70</v>
      </c>
      <c r="E239" s="5">
        <f>53800+2827</f>
        <v>56627</v>
      </c>
      <c r="F239" s="5"/>
      <c r="G239" s="5">
        <f t="shared" si="7"/>
        <v>56627</v>
      </c>
    </row>
    <row r="240" spans="2:7" ht="15.75" thickBot="1" x14ac:dyDescent="0.3">
      <c r="B240" s="321">
        <f t="shared" si="8"/>
        <v>234</v>
      </c>
      <c r="C240" s="335">
        <v>12</v>
      </c>
      <c r="D240" s="335" t="s">
        <v>5</v>
      </c>
      <c r="E240" s="336">
        <f>E241+E244</f>
        <v>160603</v>
      </c>
      <c r="F240" s="336">
        <f>F241+F244</f>
        <v>900</v>
      </c>
      <c r="G240" s="336">
        <f t="shared" si="7"/>
        <v>161503</v>
      </c>
    </row>
    <row r="241" spans="2:7" x14ac:dyDescent="0.2">
      <c r="B241" s="321">
        <f t="shared" si="8"/>
        <v>235</v>
      </c>
      <c r="C241" s="337">
        <v>210</v>
      </c>
      <c r="D241" s="337" t="s">
        <v>236</v>
      </c>
      <c r="E241" s="338">
        <f>E242</f>
        <v>10000</v>
      </c>
      <c r="F241" s="338">
        <f>SUM(F242:F243)</f>
        <v>900</v>
      </c>
      <c r="G241" s="338">
        <f t="shared" si="7"/>
        <v>10900</v>
      </c>
    </row>
    <row r="242" spans="2:7" x14ac:dyDescent="0.2">
      <c r="B242" s="321">
        <f t="shared" si="8"/>
        <v>236</v>
      </c>
      <c r="C242" s="3">
        <v>212003</v>
      </c>
      <c r="D242" s="3" t="s">
        <v>237</v>
      </c>
      <c r="E242" s="5">
        <v>10000</v>
      </c>
      <c r="F242" s="5"/>
      <c r="G242" s="5">
        <f t="shared" si="7"/>
        <v>10000</v>
      </c>
    </row>
    <row r="243" spans="2:7" x14ac:dyDescent="0.2">
      <c r="B243" s="321">
        <f t="shared" si="8"/>
        <v>237</v>
      </c>
      <c r="C243" s="3">
        <v>212004</v>
      </c>
      <c r="D243" s="3" t="s">
        <v>238</v>
      </c>
      <c r="E243" s="5">
        <v>0</v>
      </c>
      <c r="F243" s="5">
        <v>900</v>
      </c>
      <c r="G243" s="5">
        <f t="shared" si="7"/>
        <v>900</v>
      </c>
    </row>
    <row r="244" spans="2:7" x14ac:dyDescent="0.2">
      <c r="B244" s="321">
        <f t="shared" si="8"/>
        <v>238</v>
      </c>
      <c r="C244" s="339">
        <v>220</v>
      </c>
      <c r="D244" s="339" t="s">
        <v>211</v>
      </c>
      <c r="E244" s="340">
        <f>SUM(E245:E247)</f>
        <v>150603</v>
      </c>
      <c r="F244" s="340">
        <f>SUM(F245:F247)</f>
        <v>0</v>
      </c>
      <c r="G244" s="340">
        <f t="shared" si="7"/>
        <v>150603</v>
      </c>
    </row>
    <row r="245" spans="2:7" x14ac:dyDescent="0.2">
      <c r="B245" s="321">
        <f t="shared" si="8"/>
        <v>239</v>
      </c>
      <c r="C245" s="3">
        <v>223001</v>
      </c>
      <c r="D245" s="3" t="s">
        <v>239</v>
      </c>
      <c r="E245" s="5">
        <v>53000</v>
      </c>
      <c r="F245" s="5"/>
      <c r="G245" s="5">
        <f t="shared" si="7"/>
        <v>53000</v>
      </c>
    </row>
    <row r="246" spans="2:7" x14ac:dyDescent="0.2">
      <c r="B246" s="321">
        <f t="shared" ref="B246:B290" si="9">B245+1</f>
        <v>240</v>
      </c>
      <c r="C246" s="3">
        <v>223002</v>
      </c>
      <c r="D246" s="3" t="s">
        <v>69</v>
      </c>
      <c r="E246" s="5">
        <f>46000+2464</f>
        <v>48464</v>
      </c>
      <c r="F246" s="5"/>
      <c r="G246" s="5">
        <f t="shared" si="7"/>
        <v>48464</v>
      </c>
    </row>
    <row r="247" spans="2:7" ht="13.5" thickBot="1" x14ac:dyDescent="0.25">
      <c r="B247" s="321">
        <f t="shared" si="9"/>
        <v>241</v>
      </c>
      <c r="C247" s="271">
        <v>223003</v>
      </c>
      <c r="D247" s="271" t="s">
        <v>70</v>
      </c>
      <c r="E247" s="272">
        <f>46000+3139</f>
        <v>49139</v>
      </c>
      <c r="F247" s="272"/>
      <c r="G247" s="272">
        <f t="shared" si="7"/>
        <v>49139</v>
      </c>
    </row>
    <row r="248" spans="2:7" ht="15.75" thickBot="1" x14ac:dyDescent="0.3">
      <c r="B248" s="321">
        <f t="shared" si="9"/>
        <v>242</v>
      </c>
      <c r="C248" s="335">
        <v>13</v>
      </c>
      <c r="D248" s="335" t="s">
        <v>12</v>
      </c>
      <c r="E248" s="336">
        <f>E249+E252</f>
        <v>85788</v>
      </c>
      <c r="F248" s="336">
        <f>F249+F252</f>
        <v>1200</v>
      </c>
      <c r="G248" s="336">
        <f t="shared" si="7"/>
        <v>86988</v>
      </c>
    </row>
    <row r="249" spans="2:7" x14ac:dyDescent="0.2">
      <c r="B249" s="321">
        <f t="shared" si="9"/>
        <v>243</v>
      </c>
      <c r="C249" s="337">
        <v>210</v>
      </c>
      <c r="D249" s="337" t="s">
        <v>236</v>
      </c>
      <c r="E249" s="338">
        <f>E250</f>
        <v>3000</v>
      </c>
      <c r="F249" s="338">
        <f>SUM(F250:F251)</f>
        <v>1200</v>
      </c>
      <c r="G249" s="338">
        <f t="shared" si="7"/>
        <v>4200</v>
      </c>
    </row>
    <row r="250" spans="2:7" x14ac:dyDescent="0.2">
      <c r="B250" s="321">
        <f t="shared" si="9"/>
        <v>244</v>
      </c>
      <c r="C250" s="3">
        <v>212003</v>
      </c>
      <c r="D250" s="3" t="s">
        <v>237</v>
      </c>
      <c r="E250" s="5">
        <v>3000</v>
      </c>
      <c r="F250" s="5"/>
      <c r="G250" s="5">
        <f t="shared" si="7"/>
        <v>3000</v>
      </c>
    </row>
    <row r="251" spans="2:7" x14ac:dyDescent="0.2">
      <c r="B251" s="321">
        <f t="shared" si="9"/>
        <v>245</v>
      </c>
      <c r="C251" s="3">
        <v>212004</v>
      </c>
      <c r="D251" s="3" t="s">
        <v>238</v>
      </c>
      <c r="E251" s="5">
        <v>0</v>
      </c>
      <c r="F251" s="5">
        <v>1200</v>
      </c>
      <c r="G251" s="5">
        <f t="shared" si="7"/>
        <v>1200</v>
      </c>
    </row>
    <row r="252" spans="2:7" x14ac:dyDescent="0.2">
      <c r="B252" s="321">
        <f t="shared" si="9"/>
        <v>246</v>
      </c>
      <c r="C252" s="339">
        <v>220</v>
      </c>
      <c r="D252" s="339" t="s">
        <v>211</v>
      </c>
      <c r="E252" s="340">
        <f>SUM(E253:E255)</f>
        <v>82788</v>
      </c>
      <c r="F252" s="340">
        <f>SUM(F253:F255)</f>
        <v>0</v>
      </c>
      <c r="G252" s="340">
        <f t="shared" si="7"/>
        <v>82788</v>
      </c>
    </row>
    <row r="253" spans="2:7" x14ac:dyDescent="0.2">
      <c r="B253" s="321">
        <f t="shared" si="9"/>
        <v>247</v>
      </c>
      <c r="C253" s="3">
        <v>223001</v>
      </c>
      <c r="D253" s="3" t="s">
        <v>239</v>
      </c>
      <c r="E253" s="5">
        <v>30000</v>
      </c>
      <c r="F253" s="5"/>
      <c r="G253" s="5">
        <f t="shared" si="7"/>
        <v>30000</v>
      </c>
    </row>
    <row r="254" spans="2:7" x14ac:dyDescent="0.2">
      <c r="B254" s="321">
        <f t="shared" si="9"/>
        <v>248</v>
      </c>
      <c r="C254" s="3">
        <v>223002</v>
      </c>
      <c r="D254" s="3" t="s">
        <v>69</v>
      </c>
      <c r="E254" s="5">
        <f>12000+856</f>
        <v>12856</v>
      </c>
      <c r="F254" s="5"/>
      <c r="G254" s="5">
        <f t="shared" si="7"/>
        <v>12856</v>
      </c>
    </row>
    <row r="255" spans="2:7" ht="13.5" thickBot="1" x14ac:dyDescent="0.25">
      <c r="B255" s="321">
        <f t="shared" si="9"/>
        <v>249</v>
      </c>
      <c r="C255" s="3">
        <v>223003</v>
      </c>
      <c r="D255" s="3" t="s">
        <v>70</v>
      </c>
      <c r="E255" s="5">
        <f>39120+812</f>
        <v>39932</v>
      </c>
      <c r="F255" s="5"/>
      <c r="G255" s="5">
        <f t="shared" si="7"/>
        <v>39932</v>
      </c>
    </row>
    <row r="256" spans="2:7" ht="15.75" thickBot="1" x14ac:dyDescent="0.3">
      <c r="B256" s="321">
        <f t="shared" si="9"/>
        <v>250</v>
      </c>
      <c r="C256" s="335">
        <v>14</v>
      </c>
      <c r="D256" s="335" t="s">
        <v>1</v>
      </c>
      <c r="E256" s="336">
        <f>E257+E259</f>
        <v>153860</v>
      </c>
      <c r="F256" s="336">
        <f>F257+F259</f>
        <v>0</v>
      </c>
      <c r="G256" s="336">
        <f t="shared" si="7"/>
        <v>153860</v>
      </c>
    </row>
    <row r="257" spans="2:13" x14ac:dyDescent="0.2">
      <c r="B257" s="321">
        <f t="shared" si="9"/>
        <v>251</v>
      </c>
      <c r="C257" s="337">
        <v>210</v>
      </c>
      <c r="D257" s="337" t="s">
        <v>236</v>
      </c>
      <c r="E257" s="338">
        <f>E258</f>
        <v>300</v>
      </c>
      <c r="F257" s="338">
        <f>F258</f>
        <v>0</v>
      </c>
      <c r="G257" s="338">
        <f t="shared" si="7"/>
        <v>300</v>
      </c>
    </row>
    <row r="258" spans="2:13" x14ac:dyDescent="0.2">
      <c r="B258" s="321">
        <f t="shared" si="9"/>
        <v>252</v>
      </c>
      <c r="C258" s="3">
        <v>212003</v>
      </c>
      <c r="D258" s="3" t="s">
        <v>237</v>
      </c>
      <c r="E258" s="5">
        <v>300</v>
      </c>
      <c r="F258" s="5"/>
      <c r="G258" s="5">
        <f t="shared" si="7"/>
        <v>300</v>
      </c>
    </row>
    <row r="259" spans="2:13" x14ac:dyDescent="0.2">
      <c r="B259" s="321">
        <f t="shared" si="9"/>
        <v>253</v>
      </c>
      <c r="C259" s="339">
        <v>220</v>
      </c>
      <c r="D259" s="339" t="s">
        <v>211</v>
      </c>
      <c r="E259" s="340">
        <f>E260</f>
        <v>153560</v>
      </c>
      <c r="F259" s="340">
        <f>F260</f>
        <v>0</v>
      </c>
      <c r="G259" s="340">
        <f t="shared" si="7"/>
        <v>153560</v>
      </c>
    </row>
    <row r="260" spans="2:13" x14ac:dyDescent="0.2">
      <c r="B260" s="321">
        <f t="shared" si="9"/>
        <v>254</v>
      </c>
      <c r="C260" s="3">
        <v>223002</v>
      </c>
      <c r="D260" s="3" t="s">
        <v>69</v>
      </c>
      <c r="E260" s="5">
        <f>114300+39260</f>
        <v>153560</v>
      </c>
      <c r="F260" s="5"/>
      <c r="G260" s="5">
        <f t="shared" si="7"/>
        <v>153560</v>
      </c>
    </row>
    <row r="261" spans="2:13" ht="16.5" thickBot="1" x14ac:dyDescent="0.3">
      <c r="B261" s="321">
        <f t="shared" si="9"/>
        <v>255</v>
      </c>
      <c r="C261" s="333">
        <v>300</v>
      </c>
      <c r="D261" s="333" t="s">
        <v>214</v>
      </c>
      <c r="E261" s="334">
        <f>E262+E293+E296+E299</f>
        <v>20042134</v>
      </c>
      <c r="F261" s="334">
        <f>F262+F293+F296+F299+F303</f>
        <v>22745</v>
      </c>
      <c r="G261" s="334">
        <f t="shared" si="7"/>
        <v>20064879</v>
      </c>
    </row>
    <row r="262" spans="2:13" ht="15.75" thickBot="1" x14ac:dyDescent="0.3">
      <c r="B262" s="321">
        <f t="shared" si="9"/>
        <v>256</v>
      </c>
      <c r="C262" s="335"/>
      <c r="D262" s="335" t="s">
        <v>38</v>
      </c>
      <c r="E262" s="336">
        <f>E263+E289</f>
        <v>19356384</v>
      </c>
      <c r="F262" s="336">
        <f>F263+F289</f>
        <v>21745</v>
      </c>
      <c r="G262" s="336">
        <f t="shared" si="7"/>
        <v>19378129</v>
      </c>
    </row>
    <row r="263" spans="2:13" x14ac:dyDescent="0.2">
      <c r="B263" s="321">
        <f t="shared" si="9"/>
        <v>257</v>
      </c>
      <c r="C263" s="337">
        <v>310</v>
      </c>
      <c r="D263" s="337" t="s">
        <v>215</v>
      </c>
      <c r="E263" s="338">
        <f>E267+E279+E264</f>
        <v>18622192</v>
      </c>
      <c r="F263" s="338">
        <f>F267+F279+F264+F277</f>
        <v>21745</v>
      </c>
      <c r="G263" s="338">
        <f t="shared" si="7"/>
        <v>18643937</v>
      </c>
    </row>
    <row r="264" spans="2:13" x14ac:dyDescent="0.2">
      <c r="B264" s="321">
        <f t="shared" si="9"/>
        <v>258</v>
      </c>
      <c r="C264" s="349">
        <v>311</v>
      </c>
      <c r="D264" s="350" t="s">
        <v>213</v>
      </c>
      <c r="E264" s="351">
        <f>E266+E265</f>
        <v>24400</v>
      </c>
      <c r="F264" s="351">
        <f>F266</f>
        <v>0</v>
      </c>
      <c r="G264" s="351">
        <f t="shared" si="7"/>
        <v>24400</v>
      </c>
    </row>
    <row r="265" spans="2:13" ht="24" x14ac:dyDescent="0.2">
      <c r="B265" s="321"/>
      <c r="C265" s="352"/>
      <c r="D265" s="6" t="s">
        <v>656</v>
      </c>
      <c r="E265" s="353">
        <v>4400</v>
      </c>
      <c r="F265" s="353"/>
      <c r="G265" s="353">
        <f t="shared" ref="G265" si="10">E265+F265</f>
        <v>4400</v>
      </c>
    </row>
    <row r="266" spans="2:13" ht="24" x14ac:dyDescent="0.2">
      <c r="B266" s="321">
        <f>B264+1</f>
        <v>259</v>
      </c>
      <c r="C266" s="352"/>
      <c r="D266" s="6" t="s">
        <v>589</v>
      </c>
      <c r="E266" s="353">
        <v>20000</v>
      </c>
      <c r="F266" s="353"/>
      <c r="G266" s="353">
        <f t="shared" si="7"/>
        <v>20000</v>
      </c>
    </row>
    <row r="267" spans="2:13" s="79" customFormat="1" ht="24" x14ac:dyDescent="0.2">
      <c r="B267" s="321">
        <f t="shared" si="9"/>
        <v>260</v>
      </c>
      <c r="C267" s="349">
        <v>312001</v>
      </c>
      <c r="D267" s="350" t="s">
        <v>224</v>
      </c>
      <c r="E267" s="351">
        <f>SUM(E268:E276)</f>
        <v>4620595</v>
      </c>
      <c r="F267" s="351">
        <f>SUM(F268:F276)</f>
        <v>0</v>
      </c>
      <c r="G267" s="351">
        <f t="shared" si="7"/>
        <v>4620595</v>
      </c>
      <c r="H267" s="20"/>
      <c r="I267" s="20"/>
      <c r="J267" s="20"/>
      <c r="K267" s="20"/>
      <c r="L267" s="20"/>
      <c r="M267" s="20"/>
    </row>
    <row r="268" spans="2:13" x14ac:dyDescent="0.2">
      <c r="B268" s="321">
        <f t="shared" si="9"/>
        <v>261</v>
      </c>
      <c r="C268" s="352"/>
      <c r="D268" s="6" t="s">
        <v>330</v>
      </c>
      <c r="E268" s="353">
        <v>1552320</v>
      </c>
      <c r="F268" s="353"/>
      <c r="G268" s="353">
        <f t="shared" si="7"/>
        <v>1552320</v>
      </c>
    </row>
    <row r="269" spans="2:13" x14ac:dyDescent="0.2">
      <c r="B269" s="321">
        <f t="shared" si="9"/>
        <v>262</v>
      </c>
      <c r="C269" s="352"/>
      <c r="D269" s="6" t="s">
        <v>261</v>
      </c>
      <c r="E269" s="7">
        <v>16000</v>
      </c>
      <c r="F269" s="7"/>
      <c r="G269" s="7">
        <f t="shared" si="7"/>
        <v>16000</v>
      </c>
    </row>
    <row r="270" spans="2:13" x14ac:dyDescent="0.2">
      <c r="B270" s="321">
        <f t="shared" si="9"/>
        <v>263</v>
      </c>
      <c r="C270" s="352"/>
      <c r="D270" s="6" t="s">
        <v>520</v>
      </c>
      <c r="E270" s="7">
        <f>1253705+120000</f>
        <v>1373705</v>
      </c>
      <c r="F270" s="7"/>
      <c r="G270" s="7">
        <f t="shared" si="7"/>
        <v>1373705</v>
      </c>
    </row>
    <row r="271" spans="2:13" x14ac:dyDescent="0.2">
      <c r="B271" s="321">
        <f t="shared" si="9"/>
        <v>264</v>
      </c>
      <c r="C271" s="352"/>
      <c r="D271" s="6" t="s">
        <v>173</v>
      </c>
      <c r="E271" s="7">
        <v>16000</v>
      </c>
      <c r="F271" s="7"/>
      <c r="G271" s="7">
        <f t="shared" si="7"/>
        <v>16000</v>
      </c>
    </row>
    <row r="272" spans="2:13" x14ac:dyDescent="0.2">
      <c r="B272" s="321">
        <f t="shared" si="9"/>
        <v>265</v>
      </c>
      <c r="C272" s="352"/>
      <c r="D272" s="6" t="s">
        <v>278</v>
      </c>
      <c r="E272" s="7">
        <v>5000</v>
      </c>
      <c r="F272" s="7"/>
      <c r="G272" s="7">
        <f t="shared" si="7"/>
        <v>5000</v>
      </c>
    </row>
    <row r="273" spans="2:7" x14ac:dyDescent="0.2">
      <c r="B273" s="321">
        <f t="shared" si="9"/>
        <v>266</v>
      </c>
      <c r="C273" s="352"/>
      <c r="D273" s="6" t="s">
        <v>455</v>
      </c>
      <c r="E273" s="7">
        <v>612770</v>
      </c>
      <c r="F273" s="7"/>
      <c r="G273" s="7">
        <f t="shared" si="7"/>
        <v>612770</v>
      </c>
    </row>
    <row r="274" spans="2:7" x14ac:dyDescent="0.2">
      <c r="B274" s="321">
        <f t="shared" si="9"/>
        <v>267</v>
      </c>
      <c r="C274" s="352"/>
      <c r="D274" s="6" t="s">
        <v>582</v>
      </c>
      <c r="E274" s="7">
        <v>835000</v>
      </c>
      <c r="F274" s="7"/>
      <c r="G274" s="7">
        <f t="shared" si="7"/>
        <v>835000</v>
      </c>
    </row>
    <row r="275" spans="2:7" ht="24" x14ac:dyDescent="0.2">
      <c r="B275" s="321">
        <f t="shared" si="9"/>
        <v>268</v>
      </c>
      <c r="C275" s="352"/>
      <c r="D275" s="6" t="s">
        <v>578</v>
      </c>
      <c r="E275" s="7">
        <v>16000</v>
      </c>
      <c r="F275" s="7"/>
      <c r="G275" s="7">
        <f t="shared" si="7"/>
        <v>16000</v>
      </c>
    </row>
    <row r="276" spans="2:7" x14ac:dyDescent="0.2">
      <c r="B276" s="321">
        <f t="shared" si="9"/>
        <v>269</v>
      </c>
      <c r="C276" s="352"/>
      <c r="D276" s="6" t="s">
        <v>468</v>
      </c>
      <c r="E276" s="7">
        <v>193800</v>
      </c>
      <c r="F276" s="7"/>
      <c r="G276" s="7">
        <f t="shared" si="7"/>
        <v>193800</v>
      </c>
    </row>
    <row r="277" spans="2:7" x14ac:dyDescent="0.2">
      <c r="B277" s="321">
        <f t="shared" si="9"/>
        <v>270</v>
      </c>
      <c r="C277" s="349">
        <v>312012</v>
      </c>
      <c r="D277" s="350" t="s">
        <v>608</v>
      </c>
      <c r="E277" s="351">
        <f>E278</f>
        <v>0</v>
      </c>
      <c r="F277" s="351">
        <f>F278</f>
        <v>300000</v>
      </c>
      <c r="G277" s="351">
        <f>E277+F277</f>
        <v>300000</v>
      </c>
    </row>
    <row r="278" spans="2:7" x14ac:dyDescent="0.2">
      <c r="B278" s="321">
        <f t="shared" si="9"/>
        <v>271</v>
      </c>
      <c r="C278" s="341"/>
      <c r="D278" s="6" t="s">
        <v>609</v>
      </c>
      <c r="E278" s="7">
        <v>0</v>
      </c>
      <c r="F278" s="7">
        <v>300000</v>
      </c>
      <c r="G278" s="7">
        <f>F278</f>
        <v>300000</v>
      </c>
    </row>
    <row r="279" spans="2:7" ht="24" x14ac:dyDescent="0.2">
      <c r="B279" s="321">
        <f t="shared" si="9"/>
        <v>272</v>
      </c>
      <c r="C279" s="349">
        <v>312012</v>
      </c>
      <c r="D279" s="350" t="s">
        <v>225</v>
      </c>
      <c r="E279" s="351">
        <f>SUM(E280:E288)</f>
        <v>13977197</v>
      </c>
      <c r="F279" s="351">
        <f>SUM(F280:F288)</f>
        <v>-278255</v>
      </c>
      <c r="G279" s="351">
        <f t="shared" si="7"/>
        <v>13698942</v>
      </c>
    </row>
    <row r="280" spans="2:7" x14ac:dyDescent="0.2">
      <c r="B280" s="321">
        <f t="shared" si="9"/>
        <v>273</v>
      </c>
      <c r="C280" s="352"/>
      <c r="D280" s="3" t="s">
        <v>284</v>
      </c>
      <c r="E280" s="5">
        <v>13097210</v>
      </c>
      <c r="F280" s="5">
        <v>-255599</v>
      </c>
      <c r="G280" s="5">
        <f t="shared" si="7"/>
        <v>12841611</v>
      </c>
    </row>
    <row r="281" spans="2:7" x14ac:dyDescent="0.2">
      <c r="B281" s="321">
        <f t="shared" si="9"/>
        <v>274</v>
      </c>
      <c r="C281" s="352"/>
      <c r="D281" s="3" t="s">
        <v>283</v>
      </c>
      <c r="E281" s="5">
        <v>442855</v>
      </c>
      <c r="F281" s="5">
        <v>-30053</v>
      </c>
      <c r="G281" s="5">
        <f t="shared" ref="G281:G306" si="11">E281+F281</f>
        <v>412802</v>
      </c>
    </row>
    <row r="282" spans="2:7" x14ac:dyDescent="0.2">
      <c r="B282" s="321">
        <f t="shared" si="9"/>
        <v>275</v>
      </c>
      <c r="C282" s="352"/>
      <c r="D282" s="3" t="s">
        <v>282</v>
      </c>
      <c r="E282" s="5">
        <v>173000</v>
      </c>
      <c r="F282" s="5">
        <v>7397</v>
      </c>
      <c r="G282" s="5">
        <f t="shared" si="11"/>
        <v>180397</v>
      </c>
    </row>
    <row r="283" spans="2:7" x14ac:dyDescent="0.2">
      <c r="B283" s="321">
        <f t="shared" si="9"/>
        <v>276</v>
      </c>
      <c r="C283" s="352"/>
      <c r="D283" s="3" t="s">
        <v>260</v>
      </c>
      <c r="E283" s="5">
        <v>83000</v>
      </c>
      <c r="F283" s="5"/>
      <c r="G283" s="5">
        <f t="shared" si="11"/>
        <v>83000</v>
      </c>
    </row>
    <row r="284" spans="2:7" x14ac:dyDescent="0.2">
      <c r="B284" s="321">
        <f t="shared" si="9"/>
        <v>277</v>
      </c>
      <c r="C284" s="352"/>
      <c r="D284" s="3" t="s">
        <v>124</v>
      </c>
      <c r="E284" s="5">
        <v>40000</v>
      </c>
      <c r="F284" s="5"/>
      <c r="G284" s="5">
        <f t="shared" si="11"/>
        <v>40000</v>
      </c>
    </row>
    <row r="285" spans="2:7" x14ac:dyDescent="0.2">
      <c r="B285" s="321">
        <f t="shared" si="9"/>
        <v>278</v>
      </c>
      <c r="C285" s="352"/>
      <c r="D285" s="3" t="s">
        <v>281</v>
      </c>
      <c r="E285" s="5">
        <v>18300</v>
      </c>
      <c r="F285" s="5"/>
      <c r="G285" s="5">
        <f t="shared" si="11"/>
        <v>18300</v>
      </c>
    </row>
    <row r="286" spans="2:7" x14ac:dyDescent="0.2">
      <c r="B286" s="321">
        <f t="shared" si="9"/>
        <v>279</v>
      </c>
      <c r="C286" s="352"/>
      <c r="D286" s="3" t="s">
        <v>645</v>
      </c>
      <c r="E286" s="5">
        <v>93432</v>
      </c>
      <c r="F286" s="5"/>
      <c r="G286" s="5">
        <f t="shared" si="11"/>
        <v>93432</v>
      </c>
    </row>
    <row r="287" spans="2:7" x14ac:dyDescent="0.2">
      <c r="B287" s="321">
        <f t="shared" si="9"/>
        <v>280</v>
      </c>
      <c r="C287" s="352"/>
      <c r="D287" s="3" t="s">
        <v>331</v>
      </c>
      <c r="E287" s="5">
        <v>24400</v>
      </c>
      <c r="F287" s="5"/>
      <c r="G287" s="5">
        <f t="shared" si="11"/>
        <v>24400</v>
      </c>
    </row>
    <row r="288" spans="2:7" x14ac:dyDescent="0.2">
      <c r="B288" s="321">
        <f t="shared" si="9"/>
        <v>281</v>
      </c>
      <c r="C288" s="352"/>
      <c r="D288" s="3" t="s">
        <v>60</v>
      </c>
      <c r="E288" s="5">
        <v>5000</v>
      </c>
      <c r="F288" s="5"/>
      <c r="G288" s="5">
        <f t="shared" si="11"/>
        <v>5000</v>
      </c>
    </row>
    <row r="289" spans="2:13" x14ac:dyDescent="0.2">
      <c r="B289" s="321">
        <f t="shared" si="9"/>
        <v>282</v>
      </c>
      <c r="C289" s="337">
        <v>330</v>
      </c>
      <c r="D289" s="337" t="s">
        <v>585</v>
      </c>
      <c r="E289" s="338">
        <f>E290</f>
        <v>734192</v>
      </c>
      <c r="F289" s="338">
        <f>F290</f>
        <v>0</v>
      </c>
      <c r="G289" s="338">
        <f t="shared" si="11"/>
        <v>734192</v>
      </c>
    </row>
    <row r="290" spans="2:13" ht="24" x14ac:dyDescent="0.2">
      <c r="B290" s="321">
        <f t="shared" si="9"/>
        <v>283</v>
      </c>
      <c r="C290" s="349">
        <v>331001</v>
      </c>
      <c r="D290" s="350" t="s">
        <v>586</v>
      </c>
      <c r="E290" s="351">
        <f>E291+E292</f>
        <v>734192</v>
      </c>
      <c r="F290" s="351">
        <f>F291</f>
        <v>0</v>
      </c>
      <c r="G290" s="351">
        <f t="shared" si="11"/>
        <v>734192</v>
      </c>
    </row>
    <row r="291" spans="2:13" ht="24" x14ac:dyDescent="0.2">
      <c r="B291" s="321">
        <f t="shared" ref="B291:B306" si="12">B290+1</f>
        <v>284</v>
      </c>
      <c r="C291" s="352"/>
      <c r="D291" s="6" t="s">
        <v>587</v>
      </c>
      <c r="E291" s="353">
        <v>730000</v>
      </c>
      <c r="F291" s="353"/>
      <c r="G291" s="353">
        <f t="shared" si="11"/>
        <v>730000</v>
      </c>
    </row>
    <row r="292" spans="2:13" ht="13.5" thickBot="1" x14ac:dyDescent="0.25">
      <c r="B292" s="321">
        <f t="shared" si="12"/>
        <v>285</v>
      </c>
      <c r="C292" s="354"/>
      <c r="D292" s="355" t="s">
        <v>655</v>
      </c>
      <c r="E292" s="356">
        <v>4192</v>
      </c>
      <c r="F292" s="356"/>
      <c r="G292" s="353">
        <f t="shared" si="11"/>
        <v>4192</v>
      </c>
    </row>
    <row r="293" spans="2:13" ht="15.75" thickBot="1" x14ac:dyDescent="0.3">
      <c r="B293" s="321">
        <f t="shared" si="12"/>
        <v>286</v>
      </c>
      <c r="C293" s="335">
        <v>1</v>
      </c>
      <c r="D293" s="335" t="s">
        <v>49</v>
      </c>
      <c r="E293" s="336">
        <f>E294</f>
        <v>9550</v>
      </c>
      <c r="F293" s="336">
        <f>F294</f>
        <v>0</v>
      </c>
      <c r="G293" s="336">
        <f t="shared" si="11"/>
        <v>9550</v>
      </c>
    </row>
    <row r="294" spans="2:13" s="79" customFormat="1" ht="24" x14ac:dyDescent="0.2">
      <c r="B294" s="321">
        <f t="shared" si="12"/>
        <v>287</v>
      </c>
      <c r="C294" s="349">
        <v>312001</v>
      </c>
      <c r="D294" s="350" t="s">
        <v>224</v>
      </c>
      <c r="E294" s="351">
        <f>E295</f>
        <v>9550</v>
      </c>
      <c r="F294" s="351">
        <f>F295</f>
        <v>0</v>
      </c>
      <c r="G294" s="351">
        <f t="shared" si="11"/>
        <v>9550</v>
      </c>
      <c r="H294" s="20"/>
      <c r="I294" s="20"/>
      <c r="J294" s="20"/>
      <c r="K294" s="20"/>
      <c r="L294" s="20"/>
      <c r="M294" s="20"/>
    </row>
    <row r="295" spans="2:13" s="79" customFormat="1" ht="13.5" thickBot="1" x14ac:dyDescent="0.25">
      <c r="B295" s="321">
        <f t="shared" si="12"/>
        <v>288</v>
      </c>
      <c r="C295" s="357"/>
      <c r="D295" s="358" t="s">
        <v>333</v>
      </c>
      <c r="E295" s="359">
        <f>6000+3550</f>
        <v>9550</v>
      </c>
      <c r="F295" s="359"/>
      <c r="G295" s="359">
        <f t="shared" si="11"/>
        <v>9550</v>
      </c>
      <c r="H295" s="20"/>
      <c r="I295" s="20"/>
      <c r="J295" s="20"/>
      <c r="K295" s="20"/>
      <c r="L295" s="20"/>
      <c r="M295" s="20"/>
    </row>
    <row r="296" spans="2:13" s="79" customFormat="1" ht="15.75" thickBot="1" x14ac:dyDescent="0.3">
      <c r="B296" s="321">
        <f t="shared" si="12"/>
        <v>289</v>
      </c>
      <c r="C296" s="335">
        <v>4</v>
      </c>
      <c r="D296" s="335" t="s">
        <v>84</v>
      </c>
      <c r="E296" s="336">
        <f>E297</f>
        <v>106000</v>
      </c>
      <c r="F296" s="336">
        <f>F297</f>
        <v>0</v>
      </c>
      <c r="G296" s="336">
        <f t="shared" si="11"/>
        <v>106000</v>
      </c>
      <c r="H296" s="20"/>
      <c r="I296" s="20"/>
      <c r="J296" s="20"/>
      <c r="K296" s="20"/>
      <c r="L296" s="20"/>
      <c r="M296" s="20"/>
    </row>
    <row r="297" spans="2:13" s="79" customFormat="1" x14ac:dyDescent="0.2">
      <c r="B297" s="321">
        <f t="shared" si="12"/>
        <v>290</v>
      </c>
      <c r="C297" s="360">
        <v>311</v>
      </c>
      <c r="D297" s="360" t="s">
        <v>213</v>
      </c>
      <c r="E297" s="361">
        <f>SUM(E298:E298)</f>
        <v>106000</v>
      </c>
      <c r="F297" s="361">
        <f>SUM(F298:F298)</f>
        <v>0</v>
      </c>
      <c r="G297" s="361">
        <f t="shared" si="11"/>
        <v>106000</v>
      </c>
      <c r="H297" s="20"/>
      <c r="I297" s="20"/>
      <c r="J297" s="20"/>
      <c r="K297" s="20"/>
      <c r="L297" s="20"/>
      <c r="M297" s="20"/>
    </row>
    <row r="298" spans="2:13" s="79" customFormat="1" ht="13.5" thickBot="1" x14ac:dyDescent="0.25">
      <c r="B298" s="321">
        <f t="shared" si="12"/>
        <v>291</v>
      </c>
      <c r="C298" s="362"/>
      <c r="D298" s="3" t="s">
        <v>467</v>
      </c>
      <c r="E298" s="5">
        <v>106000</v>
      </c>
      <c r="F298" s="5"/>
      <c r="G298" s="5">
        <f t="shared" si="11"/>
        <v>106000</v>
      </c>
      <c r="H298" s="20"/>
      <c r="I298" s="20"/>
      <c r="J298" s="20"/>
      <c r="K298" s="20"/>
      <c r="L298" s="20"/>
      <c r="M298" s="20"/>
    </row>
    <row r="299" spans="2:13" ht="15.75" thickBot="1" x14ac:dyDescent="0.3">
      <c r="B299" s="321">
        <f t="shared" si="12"/>
        <v>292</v>
      </c>
      <c r="C299" s="335">
        <v>5</v>
      </c>
      <c r="D299" s="335" t="s">
        <v>107</v>
      </c>
      <c r="E299" s="336">
        <f>E300</f>
        <v>570200</v>
      </c>
      <c r="F299" s="336">
        <f>F300</f>
        <v>0</v>
      </c>
      <c r="G299" s="336">
        <f t="shared" si="11"/>
        <v>570200</v>
      </c>
    </row>
    <row r="300" spans="2:13" s="79" customFormat="1" ht="24" x14ac:dyDescent="0.2">
      <c r="B300" s="321">
        <f t="shared" si="12"/>
        <v>293</v>
      </c>
      <c r="C300" s="349">
        <v>312001</v>
      </c>
      <c r="D300" s="350" t="s">
        <v>224</v>
      </c>
      <c r="E300" s="351">
        <f>SUM(E301:E302)</f>
        <v>570200</v>
      </c>
      <c r="F300" s="351">
        <f>SUM(F301:F302)</f>
        <v>0</v>
      </c>
      <c r="G300" s="351">
        <f t="shared" si="11"/>
        <v>570200</v>
      </c>
      <c r="H300" s="20"/>
      <c r="I300" s="20"/>
      <c r="J300" s="20"/>
      <c r="K300" s="20"/>
      <c r="L300" s="20"/>
      <c r="M300" s="20"/>
    </row>
    <row r="301" spans="2:13" x14ac:dyDescent="0.2">
      <c r="B301" s="321">
        <f t="shared" si="12"/>
        <v>294</v>
      </c>
      <c r="C301" s="3"/>
      <c r="D301" s="3" t="s">
        <v>289</v>
      </c>
      <c r="E301" s="344">
        <v>500000</v>
      </c>
      <c r="F301" s="344"/>
      <c r="G301" s="344">
        <f t="shared" si="11"/>
        <v>500000</v>
      </c>
    </row>
    <row r="302" spans="2:13" s="79" customFormat="1" ht="24.75" thickBot="1" x14ac:dyDescent="0.25">
      <c r="B302" s="321">
        <f t="shared" si="12"/>
        <v>295</v>
      </c>
      <c r="C302" s="363"/>
      <c r="D302" s="355" t="s">
        <v>334</v>
      </c>
      <c r="E302" s="356">
        <f>52000+18200</f>
        <v>70200</v>
      </c>
      <c r="F302" s="356"/>
      <c r="G302" s="356">
        <f t="shared" si="11"/>
        <v>70200</v>
      </c>
      <c r="H302" s="20"/>
      <c r="I302" s="20"/>
      <c r="J302" s="20"/>
      <c r="K302" s="20"/>
      <c r="L302" s="20"/>
      <c r="M302" s="20"/>
    </row>
    <row r="303" spans="2:13" s="79" customFormat="1" ht="15.75" thickBot="1" x14ac:dyDescent="0.3">
      <c r="B303" s="321">
        <f t="shared" si="12"/>
        <v>296</v>
      </c>
      <c r="C303" s="335">
        <v>10</v>
      </c>
      <c r="D303" s="335" t="s">
        <v>0</v>
      </c>
      <c r="E303" s="336">
        <f>E304+E307</f>
        <v>0</v>
      </c>
      <c r="F303" s="336">
        <f>F304+F307+F311</f>
        <v>1000</v>
      </c>
      <c r="G303" s="336">
        <f t="shared" si="11"/>
        <v>1000</v>
      </c>
      <c r="H303" s="20"/>
      <c r="I303" s="20"/>
      <c r="J303" s="20"/>
      <c r="K303" s="20"/>
      <c r="L303" s="20"/>
      <c r="M303" s="20"/>
    </row>
    <row r="304" spans="2:13" s="79" customFormat="1" ht="24" x14ac:dyDescent="0.2">
      <c r="B304" s="321">
        <f t="shared" si="12"/>
        <v>297</v>
      </c>
      <c r="C304" s="349">
        <v>312001</v>
      </c>
      <c r="D304" s="350" t="s">
        <v>224</v>
      </c>
      <c r="E304" s="351">
        <f>E305</f>
        <v>0</v>
      </c>
      <c r="F304" s="351">
        <f>F305</f>
        <v>1000</v>
      </c>
      <c r="G304" s="351">
        <f t="shared" ref="G304:G305" si="13">E304+F304</f>
        <v>1000</v>
      </c>
      <c r="H304" s="20"/>
      <c r="I304" s="20"/>
      <c r="J304" s="20"/>
      <c r="K304" s="20"/>
      <c r="L304" s="20"/>
      <c r="M304" s="20"/>
    </row>
    <row r="305" spans="2:13" s="79" customFormat="1" x14ac:dyDescent="0.2">
      <c r="B305" s="321">
        <f t="shared" si="12"/>
        <v>298</v>
      </c>
      <c r="C305" s="357"/>
      <c r="D305" s="358" t="s">
        <v>333</v>
      </c>
      <c r="E305" s="359"/>
      <c r="F305" s="359">
        <v>1000</v>
      </c>
      <c r="G305" s="359">
        <f t="shared" si="13"/>
        <v>1000</v>
      </c>
      <c r="H305" s="20"/>
      <c r="I305" s="20"/>
      <c r="J305" s="20"/>
      <c r="K305" s="20"/>
      <c r="L305" s="20"/>
      <c r="M305" s="20"/>
    </row>
    <row r="306" spans="2:13" ht="15" x14ac:dyDescent="0.2">
      <c r="B306" s="321">
        <f t="shared" si="12"/>
        <v>299</v>
      </c>
      <c r="C306" s="364"/>
      <c r="D306" s="364" t="s">
        <v>114</v>
      </c>
      <c r="E306" s="365">
        <f>E261+E21+E7</f>
        <v>73170372</v>
      </c>
      <c r="F306" s="365">
        <f>F261+F21+F7</f>
        <v>229900</v>
      </c>
      <c r="G306" s="365">
        <f t="shared" si="11"/>
        <v>73400272</v>
      </c>
    </row>
    <row r="307" spans="2:13" ht="12.75" customHeight="1" x14ac:dyDescent="0.2"/>
    <row r="308" spans="2:13" ht="24.75" customHeight="1" x14ac:dyDescent="0.2">
      <c r="B308" s="409" t="s">
        <v>164</v>
      </c>
      <c r="C308" s="410"/>
      <c r="D308" s="410"/>
      <c r="E308" s="408" t="s">
        <v>592</v>
      </c>
      <c r="F308" s="408" t="s">
        <v>591</v>
      </c>
      <c r="G308" s="408" t="s">
        <v>566</v>
      </c>
    </row>
    <row r="309" spans="2:13" ht="13.5" hidden="1" customHeight="1" x14ac:dyDescent="0.2">
      <c r="B309" s="411"/>
      <c r="C309" s="412"/>
      <c r="D309" s="412"/>
      <c r="E309" s="408"/>
      <c r="F309" s="408"/>
      <c r="G309" s="408"/>
    </row>
    <row r="310" spans="2:13" x14ac:dyDescent="0.2">
      <c r="B310" s="413" t="s">
        <v>111</v>
      </c>
      <c r="C310" s="415" t="s">
        <v>113</v>
      </c>
      <c r="D310" s="416" t="s">
        <v>112</v>
      </c>
      <c r="E310" s="408"/>
      <c r="F310" s="408"/>
      <c r="G310" s="408"/>
    </row>
    <row r="311" spans="2:13" ht="1.5" customHeight="1" x14ac:dyDescent="0.2">
      <c r="B311" s="413"/>
      <c r="C311" s="417"/>
      <c r="D311" s="418"/>
      <c r="E311" s="408"/>
      <c r="F311" s="408"/>
      <c r="G311" s="408"/>
    </row>
    <row r="312" spans="2:13" ht="16.5" thickBot="1" x14ac:dyDescent="0.3">
      <c r="B312" s="366">
        <v>1</v>
      </c>
      <c r="C312" s="367">
        <v>200</v>
      </c>
      <c r="D312" s="367" t="s">
        <v>163</v>
      </c>
      <c r="E312" s="368">
        <f>E313</f>
        <v>650000</v>
      </c>
      <c r="F312" s="368">
        <f>F313</f>
        <v>0</v>
      </c>
      <c r="G312" s="368">
        <f>E312+F312</f>
        <v>650000</v>
      </c>
    </row>
    <row r="313" spans="2:13" ht="15.75" thickBot="1" x14ac:dyDescent="0.3">
      <c r="B313" s="369">
        <f>B312+1</f>
        <v>2</v>
      </c>
      <c r="C313" s="370"/>
      <c r="D313" s="370" t="s">
        <v>38</v>
      </c>
      <c r="E313" s="371">
        <f>E314</f>
        <v>650000</v>
      </c>
      <c r="F313" s="371">
        <f>F314</f>
        <v>0</v>
      </c>
      <c r="G313" s="371">
        <f t="shared" ref="G313:G352" si="14">E313+F313</f>
        <v>650000</v>
      </c>
    </row>
    <row r="314" spans="2:13" x14ac:dyDescent="0.2">
      <c r="B314" s="369">
        <f t="shared" ref="B314:B352" si="15">B313+1</f>
        <v>3</v>
      </c>
      <c r="C314" s="326">
        <v>230</v>
      </c>
      <c r="D314" s="326" t="s">
        <v>164</v>
      </c>
      <c r="E314" s="327">
        <f>E315+E316+E317</f>
        <v>650000</v>
      </c>
      <c r="F314" s="327">
        <f>F315+F316+F317</f>
        <v>0</v>
      </c>
      <c r="G314" s="327">
        <f t="shared" si="14"/>
        <v>650000</v>
      </c>
    </row>
    <row r="315" spans="2:13" x14ac:dyDescent="0.2">
      <c r="B315" s="369">
        <f t="shared" si="15"/>
        <v>4</v>
      </c>
      <c r="C315" s="11">
        <v>231</v>
      </c>
      <c r="D315" s="11" t="s">
        <v>332</v>
      </c>
      <c r="E315" s="66">
        <v>100000</v>
      </c>
      <c r="F315" s="66"/>
      <c r="G315" s="66">
        <f t="shared" si="14"/>
        <v>100000</v>
      </c>
    </row>
    <row r="316" spans="2:13" x14ac:dyDescent="0.2">
      <c r="B316" s="369">
        <f t="shared" si="15"/>
        <v>5</v>
      </c>
      <c r="C316" s="201">
        <v>231</v>
      </c>
      <c r="D316" s="201" t="s">
        <v>489</v>
      </c>
      <c r="E316" s="66">
        <v>250000</v>
      </c>
      <c r="F316" s="66"/>
      <c r="G316" s="66">
        <f t="shared" si="14"/>
        <v>250000</v>
      </c>
    </row>
    <row r="317" spans="2:13" x14ac:dyDescent="0.2">
      <c r="B317" s="369">
        <f t="shared" si="15"/>
        <v>6</v>
      </c>
      <c r="C317" s="201">
        <v>233001</v>
      </c>
      <c r="D317" s="201" t="s">
        <v>165</v>
      </c>
      <c r="E317" s="204">
        <v>300000</v>
      </c>
      <c r="F317" s="204"/>
      <c r="G317" s="204">
        <f t="shared" si="14"/>
        <v>300000</v>
      </c>
    </row>
    <row r="318" spans="2:13" ht="16.5" thickBot="1" x14ac:dyDescent="0.3">
      <c r="B318" s="369">
        <f t="shared" si="15"/>
        <v>7</v>
      </c>
      <c r="C318" s="372">
        <v>300</v>
      </c>
      <c r="D318" s="372" t="s">
        <v>214</v>
      </c>
      <c r="E318" s="373">
        <f t="shared" ref="E318:F320" si="16">E319</f>
        <v>56244004</v>
      </c>
      <c r="F318" s="373">
        <f t="shared" si="16"/>
        <v>2791254</v>
      </c>
      <c r="G318" s="373">
        <f t="shared" si="14"/>
        <v>59035258</v>
      </c>
    </row>
    <row r="319" spans="2:13" ht="15.75" thickBot="1" x14ac:dyDescent="0.3">
      <c r="B319" s="369">
        <f t="shared" si="15"/>
        <v>8</v>
      </c>
      <c r="C319" s="370"/>
      <c r="D319" s="370" t="s">
        <v>38</v>
      </c>
      <c r="E319" s="371">
        <f t="shared" si="16"/>
        <v>56244004</v>
      </c>
      <c r="F319" s="371">
        <f t="shared" si="16"/>
        <v>2791254</v>
      </c>
      <c r="G319" s="371">
        <f t="shared" si="14"/>
        <v>59035258</v>
      </c>
    </row>
    <row r="320" spans="2:13" x14ac:dyDescent="0.2">
      <c r="B320" s="369">
        <f t="shared" si="15"/>
        <v>9</v>
      </c>
      <c r="C320" s="326">
        <v>320</v>
      </c>
      <c r="D320" s="326" t="s">
        <v>262</v>
      </c>
      <c r="E320" s="327">
        <f t="shared" si="16"/>
        <v>56244004</v>
      </c>
      <c r="F320" s="327">
        <f t="shared" si="16"/>
        <v>2791254</v>
      </c>
      <c r="G320" s="327">
        <f t="shared" si="14"/>
        <v>59035258</v>
      </c>
    </row>
    <row r="321" spans="2:7" x14ac:dyDescent="0.2">
      <c r="B321" s="369">
        <f t="shared" si="15"/>
        <v>10</v>
      </c>
      <c r="C321" s="374">
        <v>322001</v>
      </c>
      <c r="D321" s="374" t="s">
        <v>263</v>
      </c>
      <c r="E321" s="375">
        <f>SUM(E323:E351)</f>
        <v>56244004</v>
      </c>
      <c r="F321" s="375">
        <f>SUM(F322:F351)</f>
        <v>2791254</v>
      </c>
      <c r="G321" s="375">
        <f t="shared" si="14"/>
        <v>59035258</v>
      </c>
    </row>
    <row r="322" spans="2:7" x14ac:dyDescent="0.2">
      <c r="B322" s="369">
        <f t="shared" si="15"/>
        <v>11</v>
      </c>
      <c r="C322" s="11"/>
      <c r="D322" s="11" t="s">
        <v>610</v>
      </c>
      <c r="E322" s="66">
        <v>0</v>
      </c>
      <c r="F322" s="66">
        <f>1427738+880000</f>
        <v>2307738</v>
      </c>
      <c r="G322" s="66">
        <f>F322</f>
        <v>2307738</v>
      </c>
    </row>
    <row r="323" spans="2:7" ht="24" x14ac:dyDescent="0.2">
      <c r="B323" s="369">
        <f t="shared" si="15"/>
        <v>12</v>
      </c>
      <c r="C323" s="81"/>
      <c r="D323" s="214" t="s">
        <v>425</v>
      </c>
      <c r="E323" s="199">
        <v>3312000</v>
      </c>
      <c r="F323" s="199"/>
      <c r="G323" s="199">
        <f t="shared" si="14"/>
        <v>3312000</v>
      </c>
    </row>
    <row r="324" spans="2:7" x14ac:dyDescent="0.2">
      <c r="B324" s="369">
        <f t="shared" si="15"/>
        <v>13</v>
      </c>
      <c r="C324" s="81"/>
      <c r="D324" s="214" t="s">
        <v>271</v>
      </c>
      <c r="E324" s="199">
        <v>10840870</v>
      </c>
      <c r="F324" s="199"/>
      <c r="G324" s="199">
        <f t="shared" si="14"/>
        <v>10840870</v>
      </c>
    </row>
    <row r="325" spans="2:7" ht="24" x14ac:dyDescent="0.2">
      <c r="B325" s="369">
        <f t="shared" si="15"/>
        <v>14</v>
      </c>
      <c r="C325" s="81"/>
      <c r="D325" s="214" t="s">
        <v>569</v>
      </c>
      <c r="E325" s="199">
        <v>707630</v>
      </c>
      <c r="F325" s="199"/>
      <c r="G325" s="199">
        <f t="shared" si="14"/>
        <v>707630</v>
      </c>
    </row>
    <row r="326" spans="2:7" x14ac:dyDescent="0.2">
      <c r="B326" s="369">
        <f t="shared" si="15"/>
        <v>15</v>
      </c>
      <c r="C326" s="81"/>
      <c r="D326" s="214" t="s">
        <v>492</v>
      </c>
      <c r="E326" s="199">
        <v>27600</v>
      </c>
      <c r="F326" s="199"/>
      <c r="G326" s="199">
        <f t="shared" si="14"/>
        <v>27600</v>
      </c>
    </row>
    <row r="327" spans="2:7" x14ac:dyDescent="0.2">
      <c r="B327" s="369">
        <f t="shared" si="15"/>
        <v>16</v>
      </c>
      <c r="C327" s="81"/>
      <c r="D327" s="214" t="s">
        <v>493</v>
      </c>
      <c r="E327" s="199">
        <v>3726000</v>
      </c>
      <c r="F327" s="199"/>
      <c r="G327" s="199">
        <f t="shared" si="14"/>
        <v>3726000</v>
      </c>
    </row>
    <row r="328" spans="2:7" x14ac:dyDescent="0.2">
      <c r="B328" s="369">
        <f t="shared" si="15"/>
        <v>17</v>
      </c>
      <c r="C328" s="81"/>
      <c r="D328" s="214" t="s">
        <v>494</v>
      </c>
      <c r="E328" s="199">
        <v>4600</v>
      </c>
      <c r="F328" s="199"/>
      <c r="G328" s="199">
        <f t="shared" si="14"/>
        <v>4600</v>
      </c>
    </row>
    <row r="329" spans="2:7" x14ac:dyDescent="0.2">
      <c r="B329" s="369">
        <f t="shared" si="15"/>
        <v>18</v>
      </c>
      <c r="C329" s="81"/>
      <c r="D329" s="214" t="s">
        <v>495</v>
      </c>
      <c r="E329" s="199">
        <v>276000</v>
      </c>
      <c r="F329" s="199"/>
      <c r="G329" s="199">
        <f t="shared" si="14"/>
        <v>276000</v>
      </c>
    </row>
    <row r="330" spans="2:7" ht="24" x14ac:dyDescent="0.2">
      <c r="B330" s="369">
        <f t="shared" si="15"/>
        <v>19</v>
      </c>
      <c r="C330" s="81"/>
      <c r="D330" s="214" t="s">
        <v>613</v>
      </c>
      <c r="E330" s="199">
        <v>0</v>
      </c>
      <c r="F330" s="199">
        <v>400000</v>
      </c>
      <c r="G330" s="199">
        <f t="shared" si="14"/>
        <v>400000</v>
      </c>
    </row>
    <row r="331" spans="2:7" x14ac:dyDescent="0.2">
      <c r="B331" s="369">
        <f t="shared" si="15"/>
        <v>20</v>
      </c>
      <c r="C331" s="81"/>
      <c r="D331" s="214" t="s">
        <v>470</v>
      </c>
      <c r="E331" s="199">
        <v>36800</v>
      </c>
      <c r="F331" s="199"/>
      <c r="G331" s="199">
        <f t="shared" si="14"/>
        <v>36800</v>
      </c>
    </row>
    <row r="332" spans="2:7" ht="24" x14ac:dyDescent="0.2">
      <c r="B332" s="369">
        <f t="shared" si="15"/>
        <v>21</v>
      </c>
      <c r="C332" s="81"/>
      <c r="D332" s="214" t="s">
        <v>577</v>
      </c>
      <c r="E332" s="199">
        <v>84000</v>
      </c>
      <c r="F332" s="199"/>
      <c r="G332" s="199">
        <f t="shared" si="14"/>
        <v>84000</v>
      </c>
    </row>
    <row r="333" spans="2:7" ht="24" x14ac:dyDescent="0.2">
      <c r="B333" s="369">
        <f t="shared" si="15"/>
        <v>22</v>
      </c>
      <c r="C333" s="81"/>
      <c r="D333" s="214" t="s">
        <v>490</v>
      </c>
      <c r="E333" s="199">
        <v>662400</v>
      </c>
      <c r="F333" s="199"/>
      <c r="G333" s="199">
        <f t="shared" si="14"/>
        <v>662400</v>
      </c>
    </row>
    <row r="334" spans="2:7" x14ac:dyDescent="0.2">
      <c r="B334" s="369">
        <f t="shared" si="15"/>
        <v>23</v>
      </c>
      <c r="C334" s="81"/>
      <c r="D334" s="214" t="s">
        <v>458</v>
      </c>
      <c r="E334" s="199">
        <v>300000</v>
      </c>
      <c r="F334" s="199">
        <v>-300000</v>
      </c>
      <c r="G334" s="199">
        <f t="shared" si="14"/>
        <v>0</v>
      </c>
    </row>
    <row r="335" spans="2:7" x14ac:dyDescent="0.2">
      <c r="B335" s="369">
        <f t="shared" si="15"/>
        <v>24</v>
      </c>
      <c r="C335" s="81"/>
      <c r="D335" s="214" t="s">
        <v>498</v>
      </c>
      <c r="E335" s="199">
        <v>8924000</v>
      </c>
      <c r="F335" s="199"/>
      <c r="G335" s="199">
        <f t="shared" si="14"/>
        <v>8924000</v>
      </c>
    </row>
    <row r="336" spans="2:7" ht="24" x14ac:dyDescent="0.2">
      <c r="B336" s="369">
        <f t="shared" si="15"/>
        <v>25</v>
      </c>
      <c r="C336" s="81"/>
      <c r="D336" s="214" t="s">
        <v>424</v>
      </c>
      <c r="E336" s="199">
        <v>1564000</v>
      </c>
      <c r="F336" s="199"/>
      <c r="G336" s="199">
        <f t="shared" si="14"/>
        <v>1564000</v>
      </c>
    </row>
    <row r="337" spans="2:7" x14ac:dyDescent="0.2">
      <c r="B337" s="369">
        <f t="shared" si="15"/>
        <v>26</v>
      </c>
      <c r="C337" s="81"/>
      <c r="D337" s="214" t="s">
        <v>426</v>
      </c>
      <c r="E337" s="199">
        <v>782000</v>
      </c>
      <c r="F337" s="199">
        <v>211600</v>
      </c>
      <c r="G337" s="199">
        <f t="shared" si="14"/>
        <v>993600</v>
      </c>
    </row>
    <row r="338" spans="2:7" x14ac:dyDescent="0.2">
      <c r="B338" s="369">
        <f t="shared" si="15"/>
        <v>27</v>
      </c>
      <c r="C338" s="81"/>
      <c r="D338" s="214" t="s">
        <v>502</v>
      </c>
      <c r="E338" s="199">
        <v>1840000</v>
      </c>
      <c r="F338" s="199"/>
      <c r="G338" s="199">
        <f t="shared" si="14"/>
        <v>1840000</v>
      </c>
    </row>
    <row r="339" spans="2:7" x14ac:dyDescent="0.2">
      <c r="B339" s="369">
        <f t="shared" si="15"/>
        <v>28</v>
      </c>
      <c r="C339" s="81"/>
      <c r="D339" s="214" t="s">
        <v>491</v>
      </c>
      <c r="E339" s="199">
        <v>2649600</v>
      </c>
      <c r="F339" s="199">
        <v>-441600</v>
      </c>
      <c r="G339" s="199">
        <f t="shared" si="14"/>
        <v>2208000</v>
      </c>
    </row>
    <row r="340" spans="2:7" x14ac:dyDescent="0.2">
      <c r="B340" s="369">
        <f t="shared" si="15"/>
        <v>29</v>
      </c>
      <c r="C340" s="81"/>
      <c r="D340" s="214" t="s">
        <v>303</v>
      </c>
      <c r="E340" s="199">
        <v>1656000</v>
      </c>
      <c r="F340" s="199"/>
      <c r="G340" s="199">
        <f t="shared" si="14"/>
        <v>1656000</v>
      </c>
    </row>
    <row r="341" spans="2:7" x14ac:dyDescent="0.2">
      <c r="B341" s="369">
        <f t="shared" si="15"/>
        <v>30</v>
      </c>
      <c r="C341" s="81"/>
      <c r="D341" s="214" t="s">
        <v>611</v>
      </c>
      <c r="E341" s="199">
        <v>0</v>
      </c>
      <c r="F341" s="199">
        <v>155027</v>
      </c>
      <c r="G341" s="199">
        <f t="shared" si="14"/>
        <v>155027</v>
      </c>
    </row>
    <row r="342" spans="2:7" x14ac:dyDescent="0.2">
      <c r="B342" s="369">
        <f t="shared" si="15"/>
        <v>31</v>
      </c>
      <c r="C342" s="81"/>
      <c r="D342" s="214" t="s">
        <v>612</v>
      </c>
      <c r="E342" s="199">
        <v>0</v>
      </c>
      <c r="F342" s="199">
        <v>8619</v>
      </c>
      <c r="G342" s="199">
        <f t="shared" si="14"/>
        <v>8619</v>
      </c>
    </row>
    <row r="343" spans="2:7" x14ac:dyDescent="0.2">
      <c r="B343" s="369">
        <f t="shared" si="15"/>
        <v>32</v>
      </c>
      <c r="C343" s="81"/>
      <c r="D343" s="214" t="s">
        <v>462</v>
      </c>
      <c r="E343" s="199">
        <v>920000</v>
      </c>
      <c r="F343" s="199"/>
      <c r="G343" s="199">
        <f t="shared" si="14"/>
        <v>920000</v>
      </c>
    </row>
    <row r="344" spans="2:7" x14ac:dyDescent="0.2">
      <c r="B344" s="369">
        <f t="shared" si="15"/>
        <v>33</v>
      </c>
      <c r="C344" s="81"/>
      <c r="D344" s="214" t="s">
        <v>616</v>
      </c>
      <c r="E344" s="199">
        <v>0</v>
      </c>
      <c r="F344" s="199">
        <v>220800</v>
      </c>
      <c r="G344" s="199">
        <f t="shared" si="14"/>
        <v>220800</v>
      </c>
    </row>
    <row r="345" spans="2:7" x14ac:dyDescent="0.2">
      <c r="B345" s="369">
        <f t="shared" si="15"/>
        <v>34</v>
      </c>
      <c r="C345" s="81"/>
      <c r="D345" s="214" t="s">
        <v>496</v>
      </c>
      <c r="E345" s="199">
        <v>13800000</v>
      </c>
      <c r="F345" s="199"/>
      <c r="G345" s="199">
        <f t="shared" si="14"/>
        <v>13800000</v>
      </c>
    </row>
    <row r="346" spans="2:7" ht="24" x14ac:dyDescent="0.2">
      <c r="B346" s="369">
        <f t="shared" si="15"/>
        <v>35</v>
      </c>
      <c r="C346" s="81"/>
      <c r="D346" s="214" t="s">
        <v>501</v>
      </c>
      <c r="E346" s="199">
        <v>950800</v>
      </c>
      <c r="F346" s="199"/>
      <c r="G346" s="199">
        <f t="shared" si="14"/>
        <v>950800</v>
      </c>
    </row>
    <row r="347" spans="2:7" ht="24" x14ac:dyDescent="0.2">
      <c r="B347" s="369">
        <f t="shared" si="15"/>
        <v>36</v>
      </c>
      <c r="C347" s="81"/>
      <c r="D347" s="214" t="s">
        <v>483</v>
      </c>
      <c r="E347" s="199">
        <v>1316704</v>
      </c>
      <c r="F347" s="199"/>
      <c r="G347" s="199">
        <f t="shared" si="14"/>
        <v>1316704</v>
      </c>
    </row>
    <row r="348" spans="2:7" ht="24" x14ac:dyDescent="0.2">
      <c r="B348" s="369">
        <f t="shared" si="15"/>
        <v>37</v>
      </c>
      <c r="C348" s="376"/>
      <c r="D348" s="214" t="s">
        <v>614</v>
      </c>
      <c r="E348" s="377">
        <v>0</v>
      </c>
      <c r="F348" s="377">
        <v>200000</v>
      </c>
      <c r="G348" s="377">
        <f t="shared" si="14"/>
        <v>200000</v>
      </c>
    </row>
    <row r="349" spans="2:7" x14ac:dyDescent="0.2">
      <c r="B349" s="369">
        <f t="shared" si="15"/>
        <v>38</v>
      </c>
      <c r="C349" s="376"/>
      <c r="D349" s="378" t="s">
        <v>615</v>
      </c>
      <c r="E349" s="377">
        <v>0</v>
      </c>
      <c r="F349" s="377">
        <v>29070</v>
      </c>
      <c r="G349" s="377">
        <f>F349</f>
        <v>29070</v>
      </c>
    </row>
    <row r="350" spans="2:7" x14ac:dyDescent="0.2">
      <c r="B350" s="369">
        <f t="shared" si="15"/>
        <v>39</v>
      </c>
      <c r="C350" s="376"/>
      <c r="D350" s="378" t="s">
        <v>482</v>
      </c>
      <c r="E350" s="377">
        <v>1748000</v>
      </c>
      <c r="F350" s="377"/>
      <c r="G350" s="377">
        <f t="shared" si="14"/>
        <v>1748000</v>
      </c>
    </row>
    <row r="351" spans="2:7" x14ac:dyDescent="0.2">
      <c r="B351" s="369">
        <f t="shared" si="15"/>
        <v>40</v>
      </c>
      <c r="C351" s="376"/>
      <c r="D351" s="378" t="s">
        <v>474</v>
      </c>
      <c r="E351" s="377">
        <v>115000</v>
      </c>
      <c r="F351" s="377"/>
      <c r="G351" s="377">
        <f t="shared" si="14"/>
        <v>115000</v>
      </c>
    </row>
    <row r="352" spans="2:7" ht="15" x14ac:dyDescent="0.2">
      <c r="B352" s="369">
        <f t="shared" si="15"/>
        <v>41</v>
      </c>
      <c r="C352" s="379"/>
      <c r="D352" s="379" t="s">
        <v>40</v>
      </c>
      <c r="E352" s="380">
        <f>E318+E312</f>
        <v>56894004</v>
      </c>
      <c r="F352" s="380">
        <f>F318+F312</f>
        <v>2791254</v>
      </c>
      <c r="G352" s="380">
        <f t="shared" si="14"/>
        <v>59685258</v>
      </c>
    </row>
    <row r="354" spans="2:7" ht="6.75" customHeight="1" x14ac:dyDescent="0.2">
      <c r="B354" s="409" t="s">
        <v>305</v>
      </c>
      <c r="C354" s="410"/>
      <c r="D354" s="410"/>
      <c r="E354" s="408" t="s">
        <v>592</v>
      </c>
      <c r="F354" s="408" t="s">
        <v>591</v>
      </c>
      <c r="G354" s="408" t="s">
        <v>566</v>
      </c>
    </row>
    <row r="355" spans="2:7" ht="12.75" customHeight="1" x14ac:dyDescent="0.2">
      <c r="B355" s="411"/>
      <c r="C355" s="412"/>
      <c r="D355" s="412"/>
      <c r="E355" s="408"/>
      <c r="F355" s="408"/>
      <c r="G355" s="408"/>
    </row>
    <row r="356" spans="2:7" ht="13.5" customHeight="1" x14ac:dyDescent="0.2">
      <c r="B356" s="414" t="s">
        <v>111</v>
      </c>
      <c r="C356" s="415" t="s">
        <v>113</v>
      </c>
      <c r="D356" s="416" t="s">
        <v>112</v>
      </c>
      <c r="E356" s="408"/>
      <c r="F356" s="408"/>
      <c r="G356" s="408"/>
    </row>
    <row r="357" spans="2:7" ht="6" customHeight="1" x14ac:dyDescent="0.2">
      <c r="B357" s="414"/>
      <c r="C357" s="415"/>
      <c r="D357" s="416"/>
      <c r="E357" s="408"/>
      <c r="F357" s="408"/>
      <c r="G357" s="408"/>
    </row>
    <row r="358" spans="2:7" ht="15" x14ac:dyDescent="0.2">
      <c r="B358" s="381">
        <v>1</v>
      </c>
      <c r="C358" s="382"/>
      <c r="D358" s="382" t="s">
        <v>114</v>
      </c>
      <c r="E358" s="383">
        <f>E306</f>
        <v>73170372</v>
      </c>
      <c r="F358" s="383">
        <f>F306</f>
        <v>229900</v>
      </c>
      <c r="G358" s="383">
        <f>E358+F358</f>
        <v>73400272</v>
      </c>
    </row>
    <row r="359" spans="2:7" ht="15" x14ac:dyDescent="0.2">
      <c r="B359" s="381">
        <v>2</v>
      </c>
      <c r="C359" s="382"/>
      <c r="D359" s="382" t="s">
        <v>40</v>
      </c>
      <c r="E359" s="383">
        <f>E352</f>
        <v>56894004</v>
      </c>
      <c r="F359" s="383">
        <f>F352</f>
        <v>2791254</v>
      </c>
      <c r="G359" s="383">
        <f>E359+F359</f>
        <v>59685258</v>
      </c>
    </row>
    <row r="360" spans="2:7" ht="15" x14ac:dyDescent="0.2">
      <c r="B360" s="384">
        <v>3</v>
      </c>
      <c r="C360" s="385"/>
      <c r="D360" s="385" t="s">
        <v>41</v>
      </c>
      <c r="E360" s="386">
        <f>E358+E359</f>
        <v>130064376</v>
      </c>
      <c r="F360" s="386">
        <f>F358+F359</f>
        <v>3021154</v>
      </c>
      <c r="G360" s="386">
        <f>E360+F360</f>
        <v>133085530</v>
      </c>
    </row>
    <row r="362" spans="2:7" s="14" customFormat="1" x14ac:dyDescent="0.2">
      <c r="B362" s="387"/>
    </row>
  </sheetData>
  <mergeCells count="22">
    <mergeCell ref="G354:G357"/>
    <mergeCell ref="B3:D4"/>
    <mergeCell ref="B5:B6"/>
    <mergeCell ref="E3:E6"/>
    <mergeCell ref="C5:C6"/>
    <mergeCell ref="D5:D6"/>
    <mergeCell ref="B2:G2"/>
    <mergeCell ref="F3:F6"/>
    <mergeCell ref="G3:G6"/>
    <mergeCell ref="E354:E357"/>
    <mergeCell ref="E308:E311"/>
    <mergeCell ref="B308:D309"/>
    <mergeCell ref="B310:B311"/>
    <mergeCell ref="B356:B357"/>
    <mergeCell ref="C356:C357"/>
    <mergeCell ref="D356:D357"/>
    <mergeCell ref="B354:D355"/>
    <mergeCell ref="C310:C311"/>
    <mergeCell ref="D310:D311"/>
    <mergeCell ref="F308:F311"/>
    <mergeCell ref="G308:G311"/>
    <mergeCell ref="F354:F357"/>
  </mergeCells>
  <phoneticPr fontId="1" type="noConversion"/>
  <pageMargins left="0.11811023622047245" right="0.31496062992125984" top="0.15748031496062992" bottom="0.1574803149606299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B2:S2515"/>
  <sheetViews>
    <sheetView showWhiteSpace="0" zoomScale="90" zoomScaleNormal="90" zoomScaleSheetLayoutView="90" workbookViewId="0">
      <pane xSplit="8" topLeftCell="I1" activePane="topRight" state="frozen"/>
      <selection activeCell="A1368" sqref="A1368"/>
      <selection pane="topRight" activeCell="I1" sqref="I1"/>
    </sheetView>
  </sheetViews>
  <sheetFormatPr defaultRowHeight="12.75" x14ac:dyDescent="0.2"/>
  <cols>
    <col min="1" max="1" width="1.140625" style="1" customWidth="1"/>
    <col min="2" max="2" width="4" style="318" customWidth="1"/>
    <col min="3" max="3" width="5.5703125" style="1" customWidth="1"/>
    <col min="4" max="4" width="3.42578125" style="1" customWidth="1"/>
    <col min="5" max="5" width="4.42578125" style="1" customWidth="1"/>
    <col min="6" max="6" width="5.5703125" style="319" customWidth="1"/>
    <col min="7" max="7" width="5" style="319" customWidth="1"/>
    <col min="8" max="8" width="39.7109375" style="1" customWidth="1"/>
    <col min="9" max="9" width="12.5703125" style="14" customWidth="1"/>
    <col min="10" max="10" width="14" style="46" customWidth="1"/>
    <col min="11" max="11" width="14.7109375" style="46" customWidth="1"/>
    <col min="12" max="12" width="2.28515625" style="14" customWidth="1"/>
    <col min="13" max="13" width="13.28515625" style="14" customWidth="1"/>
    <col min="14" max="14" width="12.140625" style="46" customWidth="1"/>
    <col min="15" max="15" width="16" style="46" customWidth="1"/>
    <col min="16" max="16" width="2.28515625" style="46" customWidth="1"/>
    <col min="17" max="17" width="15.42578125" style="14" customWidth="1"/>
    <col min="18" max="18" width="11.7109375" style="1" customWidth="1"/>
    <col min="19" max="19" width="12.85546875" style="1" customWidth="1"/>
    <col min="20" max="20" width="12.140625" style="1" customWidth="1"/>
    <col min="21" max="21" width="12.7109375" style="1" customWidth="1"/>
    <col min="22" max="22" width="13.140625" style="1" customWidth="1"/>
    <col min="23" max="23" width="11.7109375" style="1" customWidth="1"/>
    <col min="24" max="16384" width="9.140625" style="1"/>
  </cols>
  <sheetData>
    <row r="2" spans="2:19" ht="29.25" customHeight="1" x14ac:dyDescent="0.4">
      <c r="B2" s="429" t="s">
        <v>516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2:19" ht="10.5" customHeight="1" x14ac:dyDescent="0.4">
      <c r="B3" s="429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</row>
    <row r="4" spans="2:19" ht="13.5" customHeight="1" x14ac:dyDescent="0.2">
      <c r="B4" s="459" t="s">
        <v>422</v>
      </c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390"/>
      <c r="Q4" s="408" t="s">
        <v>595</v>
      </c>
      <c r="R4" s="408" t="s">
        <v>591</v>
      </c>
      <c r="S4" s="408" t="s">
        <v>566</v>
      </c>
    </row>
    <row r="5" spans="2:19" ht="19.5" customHeight="1" x14ac:dyDescent="0.2">
      <c r="B5" s="458"/>
      <c r="C5" s="437" t="s">
        <v>115</v>
      </c>
      <c r="D5" s="437" t="s">
        <v>116</v>
      </c>
      <c r="E5" s="452"/>
      <c r="F5" s="437" t="s">
        <v>117</v>
      </c>
      <c r="G5" s="443" t="s">
        <v>118</v>
      </c>
      <c r="H5" s="449" t="s">
        <v>119</v>
      </c>
      <c r="I5" s="408" t="s">
        <v>593</v>
      </c>
      <c r="J5" s="408" t="s">
        <v>591</v>
      </c>
      <c r="K5" s="408" t="s">
        <v>566</v>
      </c>
      <c r="L5" s="391"/>
      <c r="M5" s="408" t="s">
        <v>594</v>
      </c>
      <c r="N5" s="408" t="s">
        <v>591</v>
      </c>
      <c r="O5" s="408" t="s">
        <v>566</v>
      </c>
      <c r="P5" s="391"/>
      <c r="Q5" s="408"/>
      <c r="R5" s="408"/>
      <c r="S5" s="408"/>
    </row>
    <row r="6" spans="2:19" ht="14.25" customHeight="1" x14ac:dyDescent="0.2">
      <c r="B6" s="458"/>
      <c r="C6" s="437"/>
      <c r="D6" s="437"/>
      <c r="E6" s="452"/>
      <c r="F6" s="437"/>
      <c r="G6" s="443"/>
      <c r="H6" s="449"/>
      <c r="I6" s="408"/>
      <c r="J6" s="408"/>
      <c r="K6" s="408"/>
      <c r="L6" s="391"/>
      <c r="M6" s="408"/>
      <c r="N6" s="408"/>
      <c r="O6" s="408"/>
      <c r="P6" s="391"/>
      <c r="Q6" s="408"/>
      <c r="R6" s="408"/>
      <c r="S6" s="408"/>
    </row>
    <row r="7" spans="2:19" ht="11.25" customHeight="1" x14ac:dyDescent="0.2">
      <c r="B7" s="458"/>
      <c r="C7" s="437"/>
      <c r="D7" s="437"/>
      <c r="E7" s="452"/>
      <c r="F7" s="437"/>
      <c r="G7" s="443"/>
      <c r="H7" s="449"/>
      <c r="I7" s="408"/>
      <c r="J7" s="408"/>
      <c r="K7" s="408"/>
      <c r="L7" s="391"/>
      <c r="M7" s="408"/>
      <c r="N7" s="408"/>
      <c r="O7" s="408"/>
      <c r="P7" s="391"/>
      <c r="Q7" s="408"/>
      <c r="R7" s="408"/>
      <c r="S7" s="408"/>
    </row>
    <row r="8" spans="2:19" ht="4.5" customHeight="1" x14ac:dyDescent="0.2">
      <c r="B8" s="458"/>
      <c r="C8" s="437"/>
      <c r="D8" s="437"/>
      <c r="E8" s="452"/>
      <c r="F8" s="437"/>
      <c r="G8" s="443"/>
      <c r="H8" s="449"/>
      <c r="I8" s="408"/>
      <c r="J8" s="408"/>
      <c r="K8" s="408"/>
      <c r="L8" s="391"/>
      <c r="M8" s="408"/>
      <c r="N8" s="408"/>
      <c r="O8" s="408"/>
      <c r="P8" s="391"/>
      <c r="Q8" s="408"/>
      <c r="R8" s="408"/>
      <c r="S8" s="408"/>
    </row>
    <row r="9" spans="2:19" ht="21.75" customHeight="1" x14ac:dyDescent="0.2">
      <c r="B9" s="48">
        <v>1</v>
      </c>
      <c r="C9" s="450" t="s">
        <v>37</v>
      </c>
      <c r="D9" s="451"/>
      <c r="E9" s="451"/>
      <c r="F9" s="451"/>
      <c r="G9" s="451"/>
      <c r="H9" s="451"/>
      <c r="I9" s="49">
        <f>I70+I67+I59+I45+I31+I10</f>
        <v>1078209</v>
      </c>
      <c r="J9" s="49">
        <f>J70+J67+J59+J45+J31+J10</f>
        <v>6600</v>
      </c>
      <c r="K9" s="49">
        <f>I9+J9</f>
        <v>1084809</v>
      </c>
      <c r="L9" s="394"/>
      <c r="M9" s="49">
        <f>M70+M67+M59+M45+M31+M10</f>
        <v>1037286</v>
      </c>
      <c r="N9" s="49">
        <f>N70+N67+N59+N45+N31+N10</f>
        <v>-5900</v>
      </c>
      <c r="O9" s="49">
        <f>M9+N9</f>
        <v>1031386</v>
      </c>
      <c r="P9" s="392"/>
      <c r="Q9" s="50">
        <f t="shared" ref="Q9:Q41" si="0">I9+M9</f>
        <v>2115495</v>
      </c>
      <c r="R9" s="50">
        <f t="shared" ref="R9:R41" si="1">J9+N9</f>
        <v>700</v>
      </c>
      <c r="S9" s="50">
        <f t="shared" ref="S9:S41" si="2">K9+O9</f>
        <v>2116195</v>
      </c>
    </row>
    <row r="10" spans="2:19" ht="15" x14ac:dyDescent="0.2">
      <c r="B10" s="48">
        <f t="shared" ref="B10:B70" si="3">B9+1</f>
        <v>2</v>
      </c>
      <c r="C10" s="51">
        <v>1</v>
      </c>
      <c r="D10" s="435" t="s">
        <v>191</v>
      </c>
      <c r="E10" s="436"/>
      <c r="F10" s="436"/>
      <c r="G10" s="436"/>
      <c r="H10" s="436"/>
      <c r="I10" s="52">
        <f>I24+I21+I18+I11</f>
        <v>214400</v>
      </c>
      <c r="J10" s="52">
        <f>J24+J21+J18+J11</f>
        <v>0</v>
      </c>
      <c r="K10" s="52">
        <f t="shared" ref="K10:K70" si="4">I10+J10</f>
        <v>214400</v>
      </c>
      <c r="L10" s="53"/>
      <c r="M10" s="52"/>
      <c r="N10" s="52"/>
      <c r="O10" s="52">
        <f t="shared" ref="O10:O70" si="5">M10+N10</f>
        <v>0</v>
      </c>
      <c r="P10" s="54"/>
      <c r="Q10" s="55">
        <f t="shared" si="0"/>
        <v>214400</v>
      </c>
      <c r="R10" s="55">
        <f t="shared" si="1"/>
        <v>0</v>
      </c>
      <c r="S10" s="55">
        <f t="shared" si="2"/>
        <v>214400</v>
      </c>
    </row>
    <row r="11" spans="2:19" ht="15" x14ac:dyDescent="0.25">
      <c r="B11" s="48">
        <f t="shared" si="3"/>
        <v>3</v>
      </c>
      <c r="C11" s="56"/>
      <c r="D11" s="56">
        <v>1</v>
      </c>
      <c r="E11" s="447" t="s">
        <v>205</v>
      </c>
      <c r="F11" s="448"/>
      <c r="G11" s="448"/>
      <c r="H11" s="448"/>
      <c r="I11" s="57">
        <f>I12</f>
        <v>39900</v>
      </c>
      <c r="J11" s="57">
        <f>J12</f>
        <v>0</v>
      </c>
      <c r="K11" s="57">
        <f t="shared" si="4"/>
        <v>39900</v>
      </c>
      <c r="L11" s="58"/>
      <c r="M11" s="57"/>
      <c r="N11" s="57"/>
      <c r="O11" s="57">
        <f t="shared" si="5"/>
        <v>0</v>
      </c>
      <c r="P11" s="59"/>
      <c r="Q11" s="60">
        <f t="shared" si="0"/>
        <v>39900</v>
      </c>
      <c r="R11" s="60">
        <f t="shared" si="1"/>
        <v>0</v>
      </c>
      <c r="S11" s="60">
        <f t="shared" si="2"/>
        <v>39900</v>
      </c>
    </row>
    <row r="12" spans="2:19" x14ac:dyDescent="0.2">
      <c r="B12" s="48">
        <f t="shared" si="3"/>
        <v>4</v>
      </c>
      <c r="C12" s="9"/>
      <c r="D12" s="9"/>
      <c r="E12" s="9"/>
      <c r="F12" s="61" t="s">
        <v>74</v>
      </c>
      <c r="G12" s="8">
        <v>630</v>
      </c>
      <c r="H12" s="9" t="s">
        <v>122</v>
      </c>
      <c r="I12" s="62">
        <f>I17+I16+I15+I14+I13</f>
        <v>39900</v>
      </c>
      <c r="J12" s="62">
        <f>J17+J16+J15+J14+J13</f>
        <v>0</v>
      </c>
      <c r="K12" s="62">
        <f t="shared" si="4"/>
        <v>39900</v>
      </c>
      <c r="L12" s="62"/>
      <c r="M12" s="62"/>
      <c r="N12" s="62"/>
      <c r="O12" s="62">
        <f t="shared" si="5"/>
        <v>0</v>
      </c>
      <c r="P12" s="63"/>
      <c r="Q12" s="64">
        <f t="shared" si="0"/>
        <v>39900</v>
      </c>
      <c r="R12" s="64">
        <f t="shared" si="1"/>
        <v>0</v>
      </c>
      <c r="S12" s="64">
        <f t="shared" si="2"/>
        <v>39900</v>
      </c>
    </row>
    <row r="13" spans="2:19" x14ac:dyDescent="0.2">
      <c r="B13" s="48">
        <f t="shared" si="3"/>
        <v>5</v>
      </c>
      <c r="C13" s="11"/>
      <c r="D13" s="11"/>
      <c r="E13" s="11"/>
      <c r="F13" s="65"/>
      <c r="G13" s="10">
        <v>631</v>
      </c>
      <c r="H13" s="11" t="s">
        <v>128</v>
      </c>
      <c r="I13" s="66">
        <v>8000</v>
      </c>
      <c r="J13" s="66"/>
      <c r="K13" s="66">
        <f t="shared" si="4"/>
        <v>8000</v>
      </c>
      <c r="L13" s="66"/>
      <c r="M13" s="66"/>
      <c r="N13" s="66"/>
      <c r="O13" s="66">
        <f t="shared" si="5"/>
        <v>0</v>
      </c>
      <c r="P13" s="67"/>
      <c r="Q13" s="68">
        <f t="shared" si="0"/>
        <v>8000</v>
      </c>
      <c r="R13" s="68">
        <f t="shared" si="1"/>
        <v>0</v>
      </c>
      <c r="S13" s="68">
        <f t="shared" si="2"/>
        <v>8000</v>
      </c>
    </row>
    <row r="14" spans="2:19" x14ac:dyDescent="0.2">
      <c r="B14" s="48">
        <f t="shared" si="3"/>
        <v>6</v>
      </c>
      <c r="C14" s="11"/>
      <c r="D14" s="11"/>
      <c r="E14" s="11"/>
      <c r="F14" s="65"/>
      <c r="G14" s="10">
        <v>633</v>
      </c>
      <c r="H14" s="11" t="s">
        <v>126</v>
      </c>
      <c r="I14" s="66">
        <v>15000</v>
      </c>
      <c r="J14" s="66"/>
      <c r="K14" s="66">
        <f t="shared" si="4"/>
        <v>15000</v>
      </c>
      <c r="L14" s="66"/>
      <c r="M14" s="66"/>
      <c r="N14" s="66"/>
      <c r="O14" s="66">
        <f t="shared" si="5"/>
        <v>0</v>
      </c>
      <c r="P14" s="67"/>
      <c r="Q14" s="68">
        <f t="shared" si="0"/>
        <v>15000</v>
      </c>
      <c r="R14" s="68">
        <f t="shared" si="1"/>
        <v>0</v>
      </c>
      <c r="S14" s="68">
        <f t="shared" si="2"/>
        <v>15000</v>
      </c>
    </row>
    <row r="15" spans="2:19" x14ac:dyDescent="0.2">
      <c r="B15" s="48">
        <f t="shared" si="3"/>
        <v>7</v>
      </c>
      <c r="C15" s="11"/>
      <c r="D15" s="11"/>
      <c r="E15" s="11"/>
      <c r="F15" s="65"/>
      <c r="G15" s="10">
        <v>634</v>
      </c>
      <c r="H15" s="11" t="s">
        <v>133</v>
      </c>
      <c r="I15" s="66">
        <v>2000</v>
      </c>
      <c r="J15" s="66"/>
      <c r="K15" s="66">
        <f t="shared" si="4"/>
        <v>2000</v>
      </c>
      <c r="L15" s="66"/>
      <c r="M15" s="66"/>
      <c r="N15" s="66"/>
      <c r="O15" s="66">
        <f t="shared" si="5"/>
        <v>0</v>
      </c>
      <c r="P15" s="67"/>
      <c r="Q15" s="68">
        <f t="shared" si="0"/>
        <v>2000</v>
      </c>
      <c r="R15" s="68">
        <f t="shared" si="1"/>
        <v>0</v>
      </c>
      <c r="S15" s="68">
        <f t="shared" si="2"/>
        <v>2000</v>
      </c>
    </row>
    <row r="16" spans="2:19" x14ac:dyDescent="0.2">
      <c r="B16" s="48">
        <f t="shared" si="3"/>
        <v>8</v>
      </c>
      <c r="C16" s="11"/>
      <c r="D16" s="11"/>
      <c r="E16" s="11"/>
      <c r="F16" s="65"/>
      <c r="G16" s="10">
        <v>636</v>
      </c>
      <c r="H16" s="11" t="s">
        <v>127</v>
      </c>
      <c r="I16" s="66">
        <v>1700</v>
      </c>
      <c r="J16" s="66"/>
      <c r="K16" s="66">
        <f t="shared" si="4"/>
        <v>1700</v>
      </c>
      <c r="L16" s="66"/>
      <c r="M16" s="66"/>
      <c r="N16" s="66"/>
      <c r="O16" s="66">
        <f t="shared" si="5"/>
        <v>0</v>
      </c>
      <c r="P16" s="67"/>
      <c r="Q16" s="68">
        <f t="shared" si="0"/>
        <v>1700</v>
      </c>
      <c r="R16" s="68">
        <f t="shared" si="1"/>
        <v>0</v>
      </c>
      <c r="S16" s="68">
        <f t="shared" si="2"/>
        <v>1700</v>
      </c>
    </row>
    <row r="17" spans="2:19" x14ac:dyDescent="0.2">
      <c r="B17" s="48">
        <f t="shared" si="3"/>
        <v>9</v>
      </c>
      <c r="C17" s="11"/>
      <c r="D17" s="11"/>
      <c r="E17" s="11"/>
      <c r="F17" s="65"/>
      <c r="G17" s="10">
        <v>637</v>
      </c>
      <c r="H17" s="11" t="s">
        <v>123</v>
      </c>
      <c r="I17" s="66">
        <f>10000-1600+4800</f>
        <v>13200</v>
      </c>
      <c r="J17" s="66"/>
      <c r="K17" s="66">
        <f t="shared" si="4"/>
        <v>13200</v>
      </c>
      <c r="L17" s="66"/>
      <c r="M17" s="66"/>
      <c r="N17" s="66"/>
      <c r="O17" s="66">
        <f t="shared" si="5"/>
        <v>0</v>
      </c>
      <c r="P17" s="67"/>
      <c r="Q17" s="68">
        <f t="shared" si="0"/>
        <v>13200</v>
      </c>
      <c r="R17" s="68">
        <f t="shared" si="1"/>
        <v>0</v>
      </c>
      <c r="S17" s="68">
        <f t="shared" si="2"/>
        <v>13200</v>
      </c>
    </row>
    <row r="18" spans="2:19" ht="15" x14ac:dyDescent="0.25">
      <c r="B18" s="48">
        <f t="shared" si="3"/>
        <v>10</v>
      </c>
      <c r="C18" s="69"/>
      <c r="D18" s="69">
        <v>2</v>
      </c>
      <c r="E18" s="433" t="s">
        <v>233</v>
      </c>
      <c r="F18" s="434"/>
      <c r="G18" s="434"/>
      <c r="H18" s="434"/>
      <c r="I18" s="70">
        <f>I19</f>
        <v>3000</v>
      </c>
      <c r="J18" s="70">
        <f>J19</f>
        <v>0</v>
      </c>
      <c r="K18" s="70">
        <f t="shared" si="4"/>
        <v>3000</v>
      </c>
      <c r="L18" s="58"/>
      <c r="M18" s="70"/>
      <c r="N18" s="70"/>
      <c r="O18" s="70">
        <f t="shared" si="5"/>
        <v>0</v>
      </c>
      <c r="P18" s="59"/>
      <c r="Q18" s="71">
        <f t="shared" si="0"/>
        <v>3000</v>
      </c>
      <c r="R18" s="71">
        <f t="shared" si="1"/>
        <v>0</v>
      </c>
      <c r="S18" s="71">
        <f t="shared" si="2"/>
        <v>3000</v>
      </c>
    </row>
    <row r="19" spans="2:19" x14ac:dyDescent="0.2">
      <c r="B19" s="48">
        <f t="shared" si="3"/>
        <v>11</v>
      </c>
      <c r="C19" s="9"/>
      <c r="D19" s="9"/>
      <c r="E19" s="9"/>
      <c r="F19" s="61" t="s">
        <v>74</v>
      </c>
      <c r="G19" s="8">
        <v>630</v>
      </c>
      <c r="H19" s="9" t="s">
        <v>122</v>
      </c>
      <c r="I19" s="62">
        <f>I20</f>
        <v>3000</v>
      </c>
      <c r="J19" s="62">
        <f>J20</f>
        <v>0</v>
      </c>
      <c r="K19" s="62">
        <f t="shared" si="4"/>
        <v>3000</v>
      </c>
      <c r="L19" s="62"/>
      <c r="M19" s="62"/>
      <c r="N19" s="62"/>
      <c r="O19" s="62">
        <f t="shared" si="5"/>
        <v>0</v>
      </c>
      <c r="P19" s="63"/>
      <c r="Q19" s="64">
        <f t="shared" si="0"/>
        <v>3000</v>
      </c>
      <c r="R19" s="64">
        <f t="shared" si="1"/>
        <v>0</v>
      </c>
      <c r="S19" s="64">
        <f t="shared" si="2"/>
        <v>3000</v>
      </c>
    </row>
    <row r="20" spans="2:19" x14ac:dyDescent="0.2">
      <c r="B20" s="48">
        <f t="shared" si="3"/>
        <v>12</v>
      </c>
      <c r="C20" s="11"/>
      <c r="D20" s="11"/>
      <c r="E20" s="11"/>
      <c r="F20" s="65"/>
      <c r="G20" s="10">
        <v>633</v>
      </c>
      <c r="H20" s="11" t="s">
        <v>126</v>
      </c>
      <c r="I20" s="66">
        <v>3000</v>
      </c>
      <c r="J20" s="66"/>
      <c r="K20" s="66">
        <f t="shared" si="4"/>
        <v>3000</v>
      </c>
      <c r="L20" s="66"/>
      <c r="M20" s="66"/>
      <c r="N20" s="66"/>
      <c r="O20" s="66">
        <f t="shared" si="5"/>
        <v>0</v>
      </c>
      <c r="P20" s="67"/>
      <c r="Q20" s="68">
        <f t="shared" si="0"/>
        <v>3000</v>
      </c>
      <c r="R20" s="68">
        <f t="shared" si="1"/>
        <v>0</v>
      </c>
      <c r="S20" s="68">
        <f t="shared" si="2"/>
        <v>3000</v>
      </c>
    </row>
    <row r="21" spans="2:19" ht="15" x14ac:dyDescent="0.25">
      <c r="B21" s="48">
        <f t="shared" si="3"/>
        <v>13</v>
      </c>
      <c r="C21" s="69"/>
      <c r="D21" s="69">
        <v>3</v>
      </c>
      <c r="E21" s="433" t="s">
        <v>234</v>
      </c>
      <c r="F21" s="434"/>
      <c r="G21" s="434"/>
      <c r="H21" s="434"/>
      <c r="I21" s="70">
        <f>I22</f>
        <v>2500</v>
      </c>
      <c r="J21" s="70">
        <f>J22</f>
        <v>0</v>
      </c>
      <c r="K21" s="70">
        <f t="shared" si="4"/>
        <v>2500</v>
      </c>
      <c r="L21" s="58"/>
      <c r="M21" s="70"/>
      <c r="N21" s="70"/>
      <c r="O21" s="70">
        <f t="shared" si="5"/>
        <v>0</v>
      </c>
      <c r="P21" s="59"/>
      <c r="Q21" s="71">
        <f t="shared" si="0"/>
        <v>2500</v>
      </c>
      <c r="R21" s="71">
        <f t="shared" si="1"/>
        <v>0</v>
      </c>
      <c r="S21" s="71">
        <f t="shared" si="2"/>
        <v>2500</v>
      </c>
    </row>
    <row r="22" spans="2:19" x14ac:dyDescent="0.2">
      <c r="B22" s="48">
        <f t="shared" si="3"/>
        <v>14</v>
      </c>
      <c r="C22" s="9"/>
      <c r="D22" s="9"/>
      <c r="E22" s="9"/>
      <c r="F22" s="61" t="s">
        <v>74</v>
      </c>
      <c r="G22" s="8">
        <v>630</v>
      </c>
      <c r="H22" s="9" t="s">
        <v>122</v>
      </c>
      <c r="I22" s="62">
        <f>I23</f>
        <v>2500</v>
      </c>
      <c r="J22" s="62">
        <f>J23</f>
        <v>0</v>
      </c>
      <c r="K22" s="62">
        <f t="shared" si="4"/>
        <v>2500</v>
      </c>
      <c r="L22" s="62"/>
      <c r="M22" s="62"/>
      <c r="N22" s="62"/>
      <c r="O22" s="62">
        <f t="shared" si="5"/>
        <v>0</v>
      </c>
      <c r="P22" s="63"/>
      <c r="Q22" s="64">
        <f t="shared" si="0"/>
        <v>2500</v>
      </c>
      <c r="R22" s="64">
        <f t="shared" si="1"/>
        <v>0</v>
      </c>
      <c r="S22" s="64">
        <f t="shared" si="2"/>
        <v>2500</v>
      </c>
    </row>
    <row r="23" spans="2:19" x14ac:dyDescent="0.2">
      <c r="B23" s="48">
        <f t="shared" si="3"/>
        <v>15</v>
      </c>
      <c r="C23" s="11"/>
      <c r="D23" s="11"/>
      <c r="E23" s="11"/>
      <c r="F23" s="65"/>
      <c r="G23" s="10">
        <v>633</v>
      </c>
      <c r="H23" s="11" t="s">
        <v>126</v>
      </c>
      <c r="I23" s="66">
        <v>2500</v>
      </c>
      <c r="J23" s="66"/>
      <c r="K23" s="66">
        <f t="shared" si="4"/>
        <v>2500</v>
      </c>
      <c r="L23" s="66"/>
      <c r="M23" s="66"/>
      <c r="N23" s="66"/>
      <c r="O23" s="66">
        <f t="shared" si="5"/>
        <v>0</v>
      </c>
      <c r="P23" s="67"/>
      <c r="Q23" s="68">
        <f t="shared" si="0"/>
        <v>2500</v>
      </c>
      <c r="R23" s="68">
        <f t="shared" si="1"/>
        <v>0</v>
      </c>
      <c r="S23" s="68">
        <f t="shared" si="2"/>
        <v>2500</v>
      </c>
    </row>
    <row r="24" spans="2:19" ht="15" x14ac:dyDescent="0.25">
      <c r="B24" s="48">
        <f t="shared" si="3"/>
        <v>16</v>
      </c>
      <c r="C24" s="69"/>
      <c r="D24" s="69">
        <v>4</v>
      </c>
      <c r="E24" s="433" t="s">
        <v>190</v>
      </c>
      <c r="F24" s="434"/>
      <c r="G24" s="434"/>
      <c r="H24" s="434"/>
      <c r="I24" s="70">
        <f>I25+I26+I30</f>
        <v>169000</v>
      </c>
      <c r="J24" s="70">
        <f>J25+J26+J30</f>
        <v>0</v>
      </c>
      <c r="K24" s="70">
        <f t="shared" si="4"/>
        <v>169000</v>
      </c>
      <c r="L24" s="58"/>
      <c r="M24" s="70"/>
      <c r="N24" s="70"/>
      <c r="O24" s="70">
        <f t="shared" si="5"/>
        <v>0</v>
      </c>
      <c r="P24" s="59"/>
      <c r="Q24" s="71">
        <f t="shared" si="0"/>
        <v>169000</v>
      </c>
      <c r="R24" s="71">
        <f t="shared" si="1"/>
        <v>0</v>
      </c>
      <c r="S24" s="71">
        <f t="shared" si="2"/>
        <v>169000</v>
      </c>
    </row>
    <row r="25" spans="2:19" x14ac:dyDescent="0.2">
      <c r="B25" s="48">
        <f t="shared" si="3"/>
        <v>17</v>
      </c>
      <c r="C25" s="9"/>
      <c r="D25" s="9"/>
      <c r="E25" s="9"/>
      <c r="F25" s="61" t="s">
        <v>74</v>
      </c>
      <c r="G25" s="8">
        <v>620</v>
      </c>
      <c r="H25" s="9" t="s">
        <v>125</v>
      </c>
      <c r="I25" s="62">
        <v>35000</v>
      </c>
      <c r="J25" s="62"/>
      <c r="K25" s="62">
        <f t="shared" si="4"/>
        <v>35000</v>
      </c>
      <c r="L25" s="62"/>
      <c r="M25" s="62"/>
      <c r="N25" s="62"/>
      <c r="O25" s="62">
        <f t="shared" si="5"/>
        <v>0</v>
      </c>
      <c r="P25" s="63"/>
      <c r="Q25" s="64">
        <f t="shared" si="0"/>
        <v>35000</v>
      </c>
      <c r="R25" s="64">
        <f t="shared" si="1"/>
        <v>0</v>
      </c>
      <c r="S25" s="64">
        <f t="shared" si="2"/>
        <v>35000</v>
      </c>
    </row>
    <row r="26" spans="2:19" x14ac:dyDescent="0.2">
      <c r="B26" s="48">
        <f t="shared" si="3"/>
        <v>18</v>
      </c>
      <c r="C26" s="9"/>
      <c r="D26" s="9"/>
      <c r="E26" s="9"/>
      <c r="F26" s="61" t="s">
        <v>74</v>
      </c>
      <c r="G26" s="8">
        <v>630</v>
      </c>
      <c r="H26" s="9" t="s">
        <v>122</v>
      </c>
      <c r="I26" s="62">
        <f>I29+I28+I27</f>
        <v>133500</v>
      </c>
      <c r="J26" s="62">
        <f>J29+J28+J27</f>
        <v>0</v>
      </c>
      <c r="K26" s="62">
        <f t="shared" si="4"/>
        <v>133500</v>
      </c>
      <c r="L26" s="62"/>
      <c r="M26" s="62"/>
      <c r="N26" s="62"/>
      <c r="O26" s="62">
        <f t="shared" si="5"/>
        <v>0</v>
      </c>
      <c r="P26" s="63"/>
      <c r="Q26" s="64">
        <f t="shared" si="0"/>
        <v>133500</v>
      </c>
      <c r="R26" s="64">
        <f t="shared" si="1"/>
        <v>0</v>
      </c>
      <c r="S26" s="64">
        <f t="shared" si="2"/>
        <v>133500</v>
      </c>
    </row>
    <row r="27" spans="2:19" x14ac:dyDescent="0.2">
      <c r="B27" s="48">
        <f t="shared" si="3"/>
        <v>19</v>
      </c>
      <c r="C27" s="11"/>
      <c r="D27" s="11"/>
      <c r="E27" s="11"/>
      <c r="F27" s="65"/>
      <c r="G27" s="10">
        <v>632</v>
      </c>
      <c r="H27" s="11" t="s">
        <v>135</v>
      </c>
      <c r="I27" s="66">
        <v>11000</v>
      </c>
      <c r="J27" s="66"/>
      <c r="K27" s="66">
        <f t="shared" si="4"/>
        <v>11000</v>
      </c>
      <c r="L27" s="66"/>
      <c r="M27" s="66"/>
      <c r="N27" s="66"/>
      <c r="O27" s="66">
        <f t="shared" si="5"/>
        <v>0</v>
      </c>
      <c r="P27" s="67"/>
      <c r="Q27" s="68">
        <f t="shared" si="0"/>
        <v>11000</v>
      </c>
      <c r="R27" s="68">
        <f t="shared" si="1"/>
        <v>0</v>
      </c>
      <c r="S27" s="68">
        <f t="shared" si="2"/>
        <v>11000</v>
      </c>
    </row>
    <row r="28" spans="2:19" x14ac:dyDescent="0.2">
      <c r="B28" s="48">
        <f t="shared" si="3"/>
        <v>20</v>
      </c>
      <c r="C28" s="11"/>
      <c r="D28" s="11"/>
      <c r="E28" s="11"/>
      <c r="F28" s="65"/>
      <c r="G28" s="10">
        <v>633</v>
      </c>
      <c r="H28" s="11" t="s">
        <v>126</v>
      </c>
      <c r="I28" s="66">
        <v>2500</v>
      </c>
      <c r="J28" s="66"/>
      <c r="K28" s="66">
        <f t="shared" si="4"/>
        <v>2500</v>
      </c>
      <c r="L28" s="66"/>
      <c r="M28" s="66"/>
      <c r="N28" s="66"/>
      <c r="O28" s="66">
        <f t="shared" si="5"/>
        <v>0</v>
      </c>
      <c r="P28" s="67"/>
      <c r="Q28" s="68">
        <f t="shared" si="0"/>
        <v>2500</v>
      </c>
      <c r="R28" s="68">
        <f t="shared" si="1"/>
        <v>0</v>
      </c>
      <c r="S28" s="68">
        <f t="shared" si="2"/>
        <v>2500</v>
      </c>
    </row>
    <row r="29" spans="2:19" x14ac:dyDescent="0.2">
      <c r="B29" s="48">
        <f t="shared" si="3"/>
        <v>21</v>
      </c>
      <c r="C29" s="11"/>
      <c r="D29" s="11"/>
      <c r="E29" s="11"/>
      <c r="F29" s="65"/>
      <c r="G29" s="10">
        <v>637</v>
      </c>
      <c r="H29" s="11" t="s">
        <v>123</v>
      </c>
      <c r="I29" s="66">
        <v>120000</v>
      </c>
      <c r="J29" s="66"/>
      <c r="K29" s="66">
        <f t="shared" si="4"/>
        <v>120000</v>
      </c>
      <c r="L29" s="66"/>
      <c r="M29" s="66"/>
      <c r="N29" s="66"/>
      <c r="O29" s="66">
        <f t="shared" si="5"/>
        <v>0</v>
      </c>
      <c r="P29" s="67"/>
      <c r="Q29" s="68">
        <f t="shared" si="0"/>
        <v>120000</v>
      </c>
      <c r="R29" s="68">
        <f t="shared" si="1"/>
        <v>0</v>
      </c>
      <c r="S29" s="68">
        <f t="shared" si="2"/>
        <v>120000</v>
      </c>
    </row>
    <row r="30" spans="2:19" x14ac:dyDescent="0.2">
      <c r="B30" s="48">
        <f t="shared" si="3"/>
        <v>22</v>
      </c>
      <c r="C30" s="9"/>
      <c r="D30" s="9"/>
      <c r="E30" s="9"/>
      <c r="F30" s="61" t="s">
        <v>74</v>
      </c>
      <c r="G30" s="8">
        <v>640</v>
      </c>
      <c r="H30" s="9" t="s">
        <v>130</v>
      </c>
      <c r="I30" s="62">
        <v>500</v>
      </c>
      <c r="J30" s="62"/>
      <c r="K30" s="62">
        <f t="shared" si="4"/>
        <v>500</v>
      </c>
      <c r="L30" s="62"/>
      <c r="M30" s="62"/>
      <c r="N30" s="62"/>
      <c r="O30" s="62">
        <f t="shared" si="5"/>
        <v>0</v>
      </c>
      <c r="P30" s="63"/>
      <c r="Q30" s="64">
        <f t="shared" si="0"/>
        <v>500</v>
      </c>
      <c r="R30" s="64">
        <f t="shared" si="1"/>
        <v>0</v>
      </c>
      <c r="S30" s="64">
        <f t="shared" si="2"/>
        <v>500</v>
      </c>
    </row>
    <row r="31" spans="2:19" ht="15" x14ac:dyDescent="0.2">
      <c r="B31" s="48">
        <f t="shared" si="3"/>
        <v>23</v>
      </c>
      <c r="C31" s="51">
        <v>2</v>
      </c>
      <c r="D31" s="435" t="s">
        <v>204</v>
      </c>
      <c r="E31" s="436"/>
      <c r="F31" s="436"/>
      <c r="G31" s="436"/>
      <c r="H31" s="436"/>
      <c r="I31" s="52">
        <f>I33+I32</f>
        <v>300000</v>
      </c>
      <c r="J31" s="52">
        <f>J33</f>
        <v>0</v>
      </c>
      <c r="K31" s="52">
        <f t="shared" si="4"/>
        <v>300000</v>
      </c>
      <c r="L31" s="53"/>
      <c r="M31" s="52">
        <f>M38</f>
        <v>184000</v>
      </c>
      <c r="N31" s="52">
        <f>N38</f>
        <v>0</v>
      </c>
      <c r="O31" s="52">
        <f t="shared" si="5"/>
        <v>184000</v>
      </c>
      <c r="P31" s="54"/>
      <c r="Q31" s="72">
        <f t="shared" si="0"/>
        <v>484000</v>
      </c>
      <c r="R31" s="72">
        <f t="shared" si="1"/>
        <v>0</v>
      </c>
      <c r="S31" s="72">
        <f t="shared" si="2"/>
        <v>484000</v>
      </c>
    </row>
    <row r="32" spans="2:19" x14ac:dyDescent="0.2">
      <c r="B32" s="48"/>
      <c r="C32" s="9"/>
      <c r="D32" s="9"/>
      <c r="E32" s="9"/>
      <c r="F32" s="61" t="s">
        <v>203</v>
      </c>
      <c r="G32" s="8">
        <v>620</v>
      </c>
      <c r="H32" s="9" t="s">
        <v>125</v>
      </c>
      <c r="I32" s="62">
        <v>1000</v>
      </c>
      <c r="J32" s="62"/>
      <c r="K32" s="62">
        <f t="shared" ref="K32" si="6">I32+J32</f>
        <v>1000</v>
      </c>
      <c r="L32" s="62"/>
      <c r="M32" s="62"/>
      <c r="N32" s="62"/>
      <c r="O32" s="62">
        <f t="shared" ref="O32" si="7">M32+N32</f>
        <v>0</v>
      </c>
      <c r="P32" s="63"/>
      <c r="Q32" s="64">
        <f t="shared" ref="Q32" si="8">I32+M32</f>
        <v>1000</v>
      </c>
      <c r="R32" s="64">
        <f t="shared" ref="R32" si="9">J32+N32</f>
        <v>0</v>
      </c>
      <c r="S32" s="64">
        <f t="shared" ref="S32" si="10">K32+O32</f>
        <v>1000</v>
      </c>
    </row>
    <row r="33" spans="2:19" x14ac:dyDescent="0.2">
      <c r="B33" s="48">
        <f>B31+1</f>
        <v>24</v>
      </c>
      <c r="C33" s="9"/>
      <c r="D33" s="9"/>
      <c r="E33" s="9"/>
      <c r="F33" s="61" t="s">
        <v>203</v>
      </c>
      <c r="G33" s="8">
        <v>630</v>
      </c>
      <c r="H33" s="9" t="s">
        <v>122</v>
      </c>
      <c r="I33" s="62">
        <f>SUM(I34:I37)</f>
        <v>299000</v>
      </c>
      <c r="J33" s="62">
        <f>SUM(J34:J37)</f>
        <v>0</v>
      </c>
      <c r="K33" s="62">
        <f t="shared" si="4"/>
        <v>299000</v>
      </c>
      <c r="L33" s="62"/>
      <c r="M33" s="62"/>
      <c r="N33" s="62"/>
      <c r="O33" s="62">
        <f t="shared" si="5"/>
        <v>0</v>
      </c>
      <c r="P33" s="63"/>
      <c r="Q33" s="64">
        <f t="shared" si="0"/>
        <v>299000</v>
      </c>
      <c r="R33" s="64">
        <f t="shared" si="1"/>
        <v>0</v>
      </c>
      <c r="S33" s="64">
        <f t="shared" si="2"/>
        <v>299000</v>
      </c>
    </row>
    <row r="34" spans="2:19" x14ac:dyDescent="0.2">
      <c r="B34" s="48">
        <f t="shared" si="3"/>
        <v>25</v>
      </c>
      <c r="C34" s="11"/>
      <c r="D34" s="11"/>
      <c r="E34" s="11"/>
      <c r="F34" s="65"/>
      <c r="G34" s="10">
        <v>631</v>
      </c>
      <c r="H34" s="11" t="s">
        <v>128</v>
      </c>
      <c r="I34" s="66">
        <v>1000</v>
      </c>
      <c r="J34" s="66"/>
      <c r="K34" s="66">
        <f t="shared" si="4"/>
        <v>1000</v>
      </c>
      <c r="L34" s="66"/>
      <c r="M34" s="66"/>
      <c r="N34" s="66"/>
      <c r="O34" s="66">
        <f t="shared" si="5"/>
        <v>0</v>
      </c>
      <c r="P34" s="67"/>
      <c r="Q34" s="68">
        <f t="shared" si="0"/>
        <v>1000</v>
      </c>
      <c r="R34" s="68">
        <f t="shared" si="1"/>
        <v>0</v>
      </c>
      <c r="S34" s="68">
        <f t="shared" si="2"/>
        <v>1000</v>
      </c>
    </row>
    <row r="35" spans="2:19" x14ac:dyDescent="0.2">
      <c r="B35" s="48">
        <f t="shared" si="3"/>
        <v>26</v>
      </c>
      <c r="C35" s="11"/>
      <c r="D35" s="11"/>
      <c r="E35" s="11"/>
      <c r="F35" s="65"/>
      <c r="G35" s="10">
        <v>633</v>
      </c>
      <c r="H35" s="11" t="s">
        <v>126</v>
      </c>
      <c r="I35" s="66">
        <v>11000</v>
      </c>
      <c r="J35" s="66"/>
      <c r="K35" s="66">
        <f t="shared" si="4"/>
        <v>11000</v>
      </c>
      <c r="L35" s="66"/>
      <c r="M35" s="66"/>
      <c r="N35" s="66"/>
      <c r="O35" s="66">
        <f t="shared" si="5"/>
        <v>0</v>
      </c>
      <c r="P35" s="67"/>
      <c r="Q35" s="68">
        <f t="shared" si="0"/>
        <v>11000</v>
      </c>
      <c r="R35" s="68">
        <f t="shared" si="1"/>
        <v>0</v>
      </c>
      <c r="S35" s="68">
        <f t="shared" si="2"/>
        <v>11000</v>
      </c>
    </row>
    <row r="36" spans="2:19" x14ac:dyDescent="0.2">
      <c r="B36" s="48">
        <f t="shared" si="3"/>
        <v>27</v>
      </c>
      <c r="C36" s="11"/>
      <c r="D36" s="11"/>
      <c r="E36" s="11"/>
      <c r="F36" s="65"/>
      <c r="G36" s="10">
        <v>635</v>
      </c>
      <c r="H36" s="11" t="s">
        <v>134</v>
      </c>
      <c r="I36" s="66">
        <v>17000</v>
      </c>
      <c r="J36" s="66"/>
      <c r="K36" s="66">
        <f t="shared" si="4"/>
        <v>17000</v>
      </c>
      <c r="L36" s="66"/>
      <c r="M36" s="66"/>
      <c r="N36" s="66"/>
      <c r="O36" s="66">
        <f t="shared" si="5"/>
        <v>0</v>
      </c>
      <c r="P36" s="67"/>
      <c r="Q36" s="68">
        <f t="shared" si="0"/>
        <v>17000</v>
      </c>
      <c r="R36" s="68">
        <f t="shared" si="1"/>
        <v>0</v>
      </c>
      <c r="S36" s="68">
        <f t="shared" si="2"/>
        <v>17000</v>
      </c>
    </row>
    <row r="37" spans="2:19" x14ac:dyDescent="0.2">
      <c r="B37" s="48">
        <f t="shared" si="3"/>
        <v>28</v>
      </c>
      <c r="C37" s="11"/>
      <c r="D37" s="11"/>
      <c r="E37" s="11"/>
      <c r="F37" s="65"/>
      <c r="G37" s="10">
        <v>637</v>
      </c>
      <c r="H37" s="11" t="s">
        <v>123</v>
      </c>
      <c r="I37" s="66">
        <f>391500-120500-1000</f>
        <v>270000</v>
      </c>
      <c r="J37" s="66"/>
      <c r="K37" s="66">
        <f t="shared" si="4"/>
        <v>270000</v>
      </c>
      <c r="L37" s="66"/>
      <c r="M37" s="66"/>
      <c r="N37" s="66"/>
      <c r="O37" s="66">
        <f t="shared" si="5"/>
        <v>0</v>
      </c>
      <c r="P37" s="67"/>
      <c r="Q37" s="68">
        <f t="shared" si="0"/>
        <v>270000</v>
      </c>
      <c r="R37" s="68">
        <f t="shared" si="1"/>
        <v>0</v>
      </c>
      <c r="S37" s="68">
        <f t="shared" si="2"/>
        <v>270000</v>
      </c>
    </row>
    <row r="38" spans="2:19" x14ac:dyDescent="0.2">
      <c r="B38" s="48">
        <f t="shared" si="3"/>
        <v>29</v>
      </c>
      <c r="C38" s="9"/>
      <c r="D38" s="9"/>
      <c r="E38" s="9"/>
      <c r="F38" s="61" t="s">
        <v>203</v>
      </c>
      <c r="G38" s="8">
        <v>710</v>
      </c>
      <c r="H38" s="9" t="s">
        <v>176</v>
      </c>
      <c r="I38" s="62"/>
      <c r="J38" s="62"/>
      <c r="K38" s="62">
        <f t="shared" si="4"/>
        <v>0</v>
      </c>
      <c r="L38" s="62"/>
      <c r="M38" s="62">
        <f>M39+M42</f>
        <v>184000</v>
      </c>
      <c r="N38" s="62">
        <f>N39+N42</f>
        <v>0</v>
      </c>
      <c r="O38" s="62">
        <f t="shared" si="5"/>
        <v>184000</v>
      </c>
      <c r="P38" s="63"/>
      <c r="Q38" s="64">
        <f t="shared" si="0"/>
        <v>184000</v>
      </c>
      <c r="R38" s="64">
        <f t="shared" si="1"/>
        <v>0</v>
      </c>
      <c r="S38" s="64">
        <f t="shared" si="2"/>
        <v>184000</v>
      </c>
    </row>
    <row r="39" spans="2:19" x14ac:dyDescent="0.2">
      <c r="B39" s="48">
        <f t="shared" si="3"/>
        <v>30</v>
      </c>
      <c r="C39" s="11"/>
      <c r="D39" s="11"/>
      <c r="E39" s="11"/>
      <c r="F39" s="65"/>
      <c r="G39" s="10">
        <v>711</v>
      </c>
      <c r="H39" s="11" t="s">
        <v>210</v>
      </c>
      <c r="I39" s="66"/>
      <c r="J39" s="66"/>
      <c r="K39" s="66">
        <f t="shared" si="4"/>
        <v>0</v>
      </c>
      <c r="L39" s="66"/>
      <c r="M39" s="66">
        <f>SUM(M40:M41)</f>
        <v>129000</v>
      </c>
      <c r="N39" s="66">
        <f>SUM(N40:N41)</f>
        <v>0</v>
      </c>
      <c r="O39" s="66">
        <f t="shared" si="5"/>
        <v>129000</v>
      </c>
      <c r="P39" s="67"/>
      <c r="Q39" s="68">
        <f t="shared" si="0"/>
        <v>129000</v>
      </c>
      <c r="R39" s="68">
        <f t="shared" si="1"/>
        <v>0</v>
      </c>
      <c r="S39" s="68">
        <f t="shared" si="2"/>
        <v>129000</v>
      </c>
    </row>
    <row r="40" spans="2:19" s="79" customFormat="1" ht="24" x14ac:dyDescent="0.2">
      <c r="B40" s="48">
        <f t="shared" si="3"/>
        <v>31</v>
      </c>
      <c r="C40" s="73"/>
      <c r="D40" s="73"/>
      <c r="E40" s="73"/>
      <c r="F40" s="74"/>
      <c r="G40" s="74"/>
      <c r="H40" s="75" t="s">
        <v>335</v>
      </c>
      <c r="I40" s="76"/>
      <c r="J40" s="76"/>
      <c r="K40" s="76">
        <f t="shared" si="4"/>
        <v>0</v>
      </c>
      <c r="L40" s="76"/>
      <c r="M40" s="76">
        <f>50000-5000</f>
        <v>45000</v>
      </c>
      <c r="N40" s="76"/>
      <c r="O40" s="76">
        <f t="shared" si="5"/>
        <v>45000</v>
      </c>
      <c r="P40" s="77"/>
      <c r="Q40" s="78">
        <f t="shared" si="0"/>
        <v>45000</v>
      </c>
      <c r="R40" s="78">
        <f t="shared" si="1"/>
        <v>0</v>
      </c>
      <c r="S40" s="78">
        <f t="shared" si="2"/>
        <v>45000</v>
      </c>
    </row>
    <row r="41" spans="2:19" s="79" customFormat="1" x14ac:dyDescent="0.2">
      <c r="B41" s="48">
        <f t="shared" si="3"/>
        <v>32</v>
      </c>
      <c r="C41" s="73"/>
      <c r="D41" s="73"/>
      <c r="E41" s="73"/>
      <c r="F41" s="74"/>
      <c r="G41" s="74"/>
      <c r="H41" s="75" t="s">
        <v>477</v>
      </c>
      <c r="I41" s="76"/>
      <c r="J41" s="76"/>
      <c r="K41" s="76">
        <f t="shared" si="4"/>
        <v>0</v>
      </c>
      <c r="L41" s="76"/>
      <c r="M41" s="76">
        <v>84000</v>
      </c>
      <c r="N41" s="76"/>
      <c r="O41" s="76">
        <f t="shared" si="5"/>
        <v>84000</v>
      </c>
      <c r="P41" s="77"/>
      <c r="Q41" s="78">
        <f t="shared" si="0"/>
        <v>84000</v>
      </c>
      <c r="R41" s="78">
        <f t="shared" si="1"/>
        <v>0</v>
      </c>
      <c r="S41" s="78">
        <f t="shared" si="2"/>
        <v>84000</v>
      </c>
    </row>
    <row r="42" spans="2:19" x14ac:dyDescent="0.2">
      <c r="B42" s="48">
        <f t="shared" si="3"/>
        <v>33</v>
      </c>
      <c r="C42" s="11"/>
      <c r="D42" s="11"/>
      <c r="E42" s="11"/>
      <c r="F42" s="65"/>
      <c r="G42" s="10">
        <v>716</v>
      </c>
      <c r="H42" s="11" t="s">
        <v>216</v>
      </c>
      <c r="I42" s="66"/>
      <c r="J42" s="66"/>
      <c r="K42" s="66">
        <f t="shared" si="4"/>
        <v>0</v>
      </c>
      <c r="L42" s="66"/>
      <c r="M42" s="66">
        <f>SUM(M43:M44)</f>
        <v>55000</v>
      </c>
      <c r="N42" s="66">
        <f>SUM(N43:N44)</f>
        <v>0</v>
      </c>
      <c r="O42" s="66">
        <f t="shared" si="5"/>
        <v>55000</v>
      </c>
      <c r="P42" s="67"/>
      <c r="Q42" s="68">
        <f t="shared" ref="Q42:Q70" si="11">I42+M42</f>
        <v>55000</v>
      </c>
      <c r="R42" s="68">
        <f t="shared" ref="R42:R70" si="12">J42+N42</f>
        <v>0</v>
      </c>
      <c r="S42" s="68">
        <f t="shared" ref="S42:S70" si="13">K42+O42</f>
        <v>55000</v>
      </c>
    </row>
    <row r="43" spans="2:19" s="79" customFormat="1" ht="33.75" customHeight="1" x14ac:dyDescent="0.2">
      <c r="B43" s="48">
        <f t="shared" si="3"/>
        <v>34</v>
      </c>
      <c r="C43" s="73"/>
      <c r="D43" s="73"/>
      <c r="E43" s="73"/>
      <c r="F43" s="74"/>
      <c r="G43" s="74"/>
      <c r="H43" s="75" t="s">
        <v>526</v>
      </c>
      <c r="I43" s="76"/>
      <c r="J43" s="76"/>
      <c r="K43" s="76">
        <f t="shared" si="4"/>
        <v>0</v>
      </c>
      <c r="L43" s="76"/>
      <c r="M43" s="76">
        <v>5000</v>
      </c>
      <c r="N43" s="76"/>
      <c r="O43" s="76">
        <f t="shared" si="5"/>
        <v>5000</v>
      </c>
      <c r="P43" s="77"/>
      <c r="Q43" s="80">
        <f t="shared" si="11"/>
        <v>5000</v>
      </c>
      <c r="R43" s="80">
        <f t="shared" si="12"/>
        <v>0</v>
      </c>
      <c r="S43" s="80">
        <f t="shared" si="13"/>
        <v>5000</v>
      </c>
    </row>
    <row r="44" spans="2:19" ht="12" customHeight="1" x14ac:dyDescent="0.2">
      <c r="B44" s="48">
        <f t="shared" si="3"/>
        <v>35</v>
      </c>
      <c r="C44" s="81"/>
      <c r="D44" s="81"/>
      <c r="E44" s="81"/>
      <c r="F44" s="82"/>
      <c r="G44" s="82"/>
      <c r="H44" s="13" t="s">
        <v>304</v>
      </c>
      <c r="I44" s="83"/>
      <c r="J44" s="83"/>
      <c r="K44" s="83">
        <f t="shared" si="4"/>
        <v>0</v>
      </c>
      <c r="L44" s="83"/>
      <c r="M44" s="83">
        <v>50000</v>
      </c>
      <c r="N44" s="83"/>
      <c r="O44" s="83">
        <f t="shared" si="5"/>
        <v>50000</v>
      </c>
      <c r="P44" s="84"/>
      <c r="Q44" s="85">
        <f t="shared" si="11"/>
        <v>50000</v>
      </c>
      <c r="R44" s="85">
        <f t="shared" si="12"/>
        <v>0</v>
      </c>
      <c r="S44" s="85">
        <f t="shared" si="13"/>
        <v>50000</v>
      </c>
    </row>
    <row r="45" spans="2:19" ht="15" x14ac:dyDescent="0.2">
      <c r="B45" s="48">
        <f t="shared" si="3"/>
        <v>36</v>
      </c>
      <c r="C45" s="51">
        <v>3</v>
      </c>
      <c r="D45" s="435" t="s">
        <v>137</v>
      </c>
      <c r="E45" s="436"/>
      <c r="F45" s="436"/>
      <c r="G45" s="436"/>
      <c r="H45" s="436"/>
      <c r="I45" s="52">
        <f>I47+I50</f>
        <v>279692</v>
      </c>
      <c r="J45" s="52">
        <f>J47+J46</f>
        <v>0</v>
      </c>
      <c r="K45" s="52">
        <f t="shared" si="4"/>
        <v>279692</v>
      </c>
      <c r="L45" s="53"/>
      <c r="M45" s="52">
        <f>M51</f>
        <v>853286</v>
      </c>
      <c r="N45" s="52">
        <f>N51</f>
        <v>-5900</v>
      </c>
      <c r="O45" s="52">
        <f t="shared" si="5"/>
        <v>847386</v>
      </c>
      <c r="P45" s="54"/>
      <c r="Q45" s="72">
        <f t="shared" si="11"/>
        <v>1132978</v>
      </c>
      <c r="R45" s="72">
        <f t="shared" si="12"/>
        <v>-5900</v>
      </c>
      <c r="S45" s="72">
        <f t="shared" si="13"/>
        <v>1127078</v>
      </c>
    </row>
    <row r="46" spans="2:19" x14ac:dyDescent="0.2">
      <c r="B46" s="48">
        <f t="shared" si="3"/>
        <v>37</v>
      </c>
      <c r="C46" s="9"/>
      <c r="D46" s="9"/>
      <c r="E46" s="9"/>
      <c r="F46" s="61" t="s">
        <v>74</v>
      </c>
      <c r="G46" s="8">
        <v>620</v>
      </c>
      <c r="H46" s="9" t="s">
        <v>125</v>
      </c>
      <c r="I46" s="62">
        <v>0</v>
      </c>
      <c r="J46" s="62">
        <v>6500</v>
      </c>
      <c r="K46" s="62">
        <f t="shared" ref="K46" si="14">I46+J46</f>
        <v>6500</v>
      </c>
      <c r="L46" s="62"/>
      <c r="M46" s="62"/>
      <c r="N46" s="62"/>
      <c r="O46" s="62">
        <f t="shared" ref="O46" si="15">M46+N46</f>
        <v>0</v>
      </c>
      <c r="P46" s="63"/>
      <c r="Q46" s="64">
        <f t="shared" ref="Q46" si="16">I46+M46</f>
        <v>0</v>
      </c>
      <c r="R46" s="64">
        <f t="shared" ref="R46" si="17">J46+N46</f>
        <v>6500</v>
      </c>
      <c r="S46" s="64">
        <f t="shared" ref="S46" si="18">K46+O46</f>
        <v>6500</v>
      </c>
    </row>
    <row r="47" spans="2:19" x14ac:dyDescent="0.2">
      <c r="B47" s="48">
        <f t="shared" si="3"/>
        <v>38</v>
      </c>
      <c r="C47" s="9"/>
      <c r="D47" s="9"/>
      <c r="E47" s="9"/>
      <c r="F47" s="61" t="s">
        <v>74</v>
      </c>
      <c r="G47" s="8">
        <v>630</v>
      </c>
      <c r="H47" s="9" t="s">
        <v>122</v>
      </c>
      <c r="I47" s="62">
        <f>SUM(I48:I49)</f>
        <v>275500</v>
      </c>
      <c r="J47" s="62">
        <f>SUM(J48:J49)</f>
        <v>-6500</v>
      </c>
      <c r="K47" s="62">
        <f t="shared" si="4"/>
        <v>269000</v>
      </c>
      <c r="L47" s="62"/>
      <c r="M47" s="62"/>
      <c r="N47" s="62"/>
      <c r="O47" s="62">
        <f t="shared" si="5"/>
        <v>0</v>
      </c>
      <c r="P47" s="63"/>
      <c r="Q47" s="64">
        <f t="shared" si="11"/>
        <v>275500</v>
      </c>
      <c r="R47" s="64">
        <f t="shared" si="12"/>
        <v>-6500</v>
      </c>
      <c r="S47" s="64">
        <f t="shared" si="13"/>
        <v>269000</v>
      </c>
    </row>
    <row r="48" spans="2:19" x14ac:dyDescent="0.2">
      <c r="B48" s="48">
        <f t="shared" si="3"/>
        <v>39</v>
      </c>
      <c r="C48" s="11"/>
      <c r="D48" s="11"/>
      <c r="E48" s="11"/>
      <c r="F48" s="65"/>
      <c r="G48" s="10">
        <v>637</v>
      </c>
      <c r="H48" s="11" t="s">
        <v>123</v>
      </c>
      <c r="I48" s="66">
        <f>86000-4300</f>
        <v>81700</v>
      </c>
      <c r="J48" s="66">
        <v>-6500</v>
      </c>
      <c r="K48" s="66">
        <f t="shared" si="4"/>
        <v>75200</v>
      </c>
      <c r="L48" s="66"/>
      <c r="M48" s="66"/>
      <c r="N48" s="66"/>
      <c r="O48" s="66">
        <f t="shared" si="5"/>
        <v>0</v>
      </c>
      <c r="P48" s="67"/>
      <c r="Q48" s="68">
        <f t="shared" si="11"/>
        <v>81700</v>
      </c>
      <c r="R48" s="68">
        <f t="shared" si="12"/>
        <v>-6500</v>
      </c>
      <c r="S48" s="68">
        <f t="shared" si="13"/>
        <v>75200</v>
      </c>
    </row>
    <row r="49" spans="2:19" ht="12" customHeight="1" x14ac:dyDescent="0.2">
      <c r="B49" s="48">
        <f t="shared" si="3"/>
        <v>40</v>
      </c>
      <c r="C49" s="11"/>
      <c r="D49" s="11"/>
      <c r="E49" s="11"/>
      <c r="F49" s="65"/>
      <c r="G49" s="10">
        <v>630</v>
      </c>
      <c r="H49" s="11" t="s">
        <v>468</v>
      </c>
      <c r="I49" s="66">
        <v>193800</v>
      </c>
      <c r="J49" s="66"/>
      <c r="K49" s="66">
        <f t="shared" si="4"/>
        <v>193800</v>
      </c>
      <c r="L49" s="66"/>
      <c r="M49" s="66"/>
      <c r="N49" s="66"/>
      <c r="O49" s="66">
        <f t="shared" si="5"/>
        <v>0</v>
      </c>
      <c r="P49" s="67"/>
      <c r="Q49" s="68">
        <f t="shared" si="11"/>
        <v>193800</v>
      </c>
      <c r="R49" s="68">
        <f t="shared" si="12"/>
        <v>0</v>
      </c>
      <c r="S49" s="68">
        <f t="shared" si="13"/>
        <v>193800</v>
      </c>
    </row>
    <row r="50" spans="2:19" ht="12" customHeight="1" x14ac:dyDescent="0.2">
      <c r="B50" s="48">
        <f t="shared" si="3"/>
        <v>41</v>
      </c>
      <c r="C50" s="11"/>
      <c r="D50" s="11"/>
      <c r="E50" s="11"/>
      <c r="F50" s="65"/>
      <c r="G50" s="10">
        <v>600</v>
      </c>
      <c r="H50" s="11" t="s">
        <v>655</v>
      </c>
      <c r="I50" s="66">
        <v>4192</v>
      </c>
      <c r="J50" s="66"/>
      <c r="K50" s="66">
        <f t="shared" si="4"/>
        <v>4192</v>
      </c>
      <c r="L50" s="66"/>
      <c r="M50" s="66"/>
      <c r="N50" s="66"/>
      <c r="O50" s="66"/>
      <c r="P50" s="67"/>
      <c r="Q50" s="68">
        <f t="shared" ref="Q50" si="19">I50+M50</f>
        <v>4192</v>
      </c>
      <c r="R50" s="68">
        <f t="shared" ref="R50" si="20">J50+N50</f>
        <v>0</v>
      </c>
      <c r="S50" s="68">
        <f t="shared" ref="S50" si="21">K50+O50</f>
        <v>4192</v>
      </c>
    </row>
    <row r="51" spans="2:19" x14ac:dyDescent="0.2">
      <c r="B51" s="48">
        <f t="shared" si="3"/>
        <v>42</v>
      </c>
      <c r="C51" s="9"/>
      <c r="D51" s="9"/>
      <c r="E51" s="9"/>
      <c r="F51" s="61" t="s">
        <v>74</v>
      </c>
      <c r="G51" s="8">
        <v>710</v>
      </c>
      <c r="H51" s="9" t="s">
        <v>176</v>
      </c>
      <c r="I51" s="62"/>
      <c r="J51" s="62"/>
      <c r="K51" s="62">
        <f t="shared" si="4"/>
        <v>0</v>
      </c>
      <c r="L51" s="62"/>
      <c r="M51" s="62">
        <f>M54+M52</f>
        <v>853286</v>
      </c>
      <c r="N51" s="62">
        <f>N54+N52</f>
        <v>-5900</v>
      </c>
      <c r="O51" s="62">
        <f t="shared" si="5"/>
        <v>847386</v>
      </c>
      <c r="P51" s="63"/>
      <c r="Q51" s="64">
        <f t="shared" si="11"/>
        <v>853286</v>
      </c>
      <c r="R51" s="64">
        <f t="shared" si="12"/>
        <v>-5900</v>
      </c>
      <c r="S51" s="64">
        <f t="shared" si="13"/>
        <v>847386</v>
      </c>
    </row>
    <row r="52" spans="2:19" x14ac:dyDescent="0.2">
      <c r="B52" s="48">
        <f t="shared" si="3"/>
        <v>43</v>
      </c>
      <c r="C52" s="11"/>
      <c r="D52" s="11"/>
      <c r="E52" s="11"/>
      <c r="F52" s="65"/>
      <c r="G52" s="10">
        <v>716</v>
      </c>
      <c r="H52" s="11" t="s">
        <v>216</v>
      </c>
      <c r="I52" s="66"/>
      <c r="J52" s="66"/>
      <c r="K52" s="66">
        <f t="shared" si="4"/>
        <v>0</v>
      </c>
      <c r="L52" s="66"/>
      <c r="M52" s="66">
        <f>SUM(M53:M53)</f>
        <v>384996</v>
      </c>
      <c r="N52" s="66">
        <f>SUM(N53:N53)</f>
        <v>0</v>
      </c>
      <c r="O52" s="66">
        <f t="shared" si="5"/>
        <v>384996</v>
      </c>
      <c r="P52" s="67"/>
      <c r="Q52" s="68">
        <f t="shared" si="11"/>
        <v>384996</v>
      </c>
      <c r="R52" s="68">
        <f t="shared" si="12"/>
        <v>0</v>
      </c>
      <c r="S52" s="68">
        <f t="shared" si="13"/>
        <v>384996</v>
      </c>
    </row>
    <row r="53" spans="2:19" x14ac:dyDescent="0.2">
      <c r="B53" s="48">
        <f t="shared" si="3"/>
        <v>44</v>
      </c>
      <c r="C53" s="81"/>
      <c r="D53" s="81"/>
      <c r="E53" s="81"/>
      <c r="F53" s="82"/>
      <c r="G53" s="82"/>
      <c r="H53" s="13" t="s">
        <v>397</v>
      </c>
      <c r="I53" s="83"/>
      <c r="J53" s="83"/>
      <c r="K53" s="83">
        <f t="shared" si="4"/>
        <v>0</v>
      </c>
      <c r="L53" s="83"/>
      <c r="M53" s="83">
        <f>300000+129500-3504-41000</f>
        <v>384996</v>
      </c>
      <c r="N53" s="83"/>
      <c r="O53" s="83">
        <f t="shared" si="5"/>
        <v>384996</v>
      </c>
      <c r="P53" s="84"/>
      <c r="Q53" s="85">
        <f t="shared" si="11"/>
        <v>384996</v>
      </c>
      <c r="R53" s="85">
        <f t="shared" si="12"/>
        <v>0</v>
      </c>
      <c r="S53" s="85">
        <f t="shared" si="13"/>
        <v>384996</v>
      </c>
    </row>
    <row r="54" spans="2:19" x14ac:dyDescent="0.2">
      <c r="B54" s="48">
        <f t="shared" si="3"/>
        <v>45</v>
      </c>
      <c r="C54" s="11"/>
      <c r="D54" s="11"/>
      <c r="E54" s="11"/>
      <c r="F54" s="65"/>
      <c r="G54" s="10">
        <v>717</v>
      </c>
      <c r="H54" s="11" t="s">
        <v>183</v>
      </c>
      <c r="I54" s="66"/>
      <c r="J54" s="66"/>
      <c r="K54" s="66">
        <f t="shared" si="4"/>
        <v>0</v>
      </c>
      <c r="L54" s="66"/>
      <c r="M54" s="66">
        <f>SUM(M55:M55)</f>
        <v>468290</v>
      </c>
      <c r="N54" s="66">
        <f>SUM(N55:N55)</f>
        <v>-5900</v>
      </c>
      <c r="O54" s="66">
        <f t="shared" si="5"/>
        <v>462390</v>
      </c>
      <c r="P54" s="67"/>
      <c r="Q54" s="68">
        <f t="shared" si="11"/>
        <v>468290</v>
      </c>
      <c r="R54" s="68">
        <f t="shared" si="12"/>
        <v>-5900</v>
      </c>
      <c r="S54" s="68">
        <f t="shared" si="13"/>
        <v>462390</v>
      </c>
    </row>
    <row r="55" spans="2:19" x14ac:dyDescent="0.2">
      <c r="B55" s="48">
        <f t="shared" si="3"/>
        <v>46</v>
      </c>
      <c r="C55" s="86"/>
      <c r="D55" s="86"/>
      <c r="E55" s="86"/>
      <c r="F55" s="87"/>
      <c r="G55" s="87"/>
      <c r="H55" s="88" t="s">
        <v>79</v>
      </c>
      <c r="I55" s="89"/>
      <c r="J55" s="89"/>
      <c r="K55" s="89">
        <f t="shared" si="4"/>
        <v>0</v>
      </c>
      <c r="L55" s="89"/>
      <c r="M55" s="89">
        <f>484200+15800-6710-25000</f>
        <v>468290</v>
      </c>
      <c r="N55" s="89">
        <v>-5900</v>
      </c>
      <c r="O55" s="89">
        <f t="shared" si="5"/>
        <v>462390</v>
      </c>
      <c r="P55" s="90"/>
      <c r="Q55" s="91">
        <f t="shared" si="11"/>
        <v>468290</v>
      </c>
      <c r="R55" s="91">
        <f t="shared" si="12"/>
        <v>-5900</v>
      </c>
      <c r="S55" s="91">
        <f t="shared" si="13"/>
        <v>462390</v>
      </c>
    </row>
    <row r="56" spans="2:19" ht="15" x14ac:dyDescent="0.2">
      <c r="B56" s="48">
        <f t="shared" si="3"/>
        <v>47</v>
      </c>
      <c r="C56" s="92">
        <v>4</v>
      </c>
      <c r="D56" s="440" t="s">
        <v>405</v>
      </c>
      <c r="E56" s="441"/>
      <c r="F56" s="441"/>
      <c r="G56" s="441"/>
      <c r="H56" s="442"/>
      <c r="I56" s="93">
        <v>0</v>
      </c>
      <c r="J56" s="93">
        <v>0</v>
      </c>
      <c r="K56" s="93">
        <f t="shared" si="4"/>
        <v>0</v>
      </c>
      <c r="L56" s="94"/>
      <c r="M56" s="93">
        <v>0</v>
      </c>
      <c r="N56" s="93">
        <v>0</v>
      </c>
      <c r="O56" s="93">
        <f t="shared" si="5"/>
        <v>0</v>
      </c>
      <c r="P56" s="95"/>
      <c r="Q56" s="96">
        <f t="shared" si="11"/>
        <v>0</v>
      </c>
      <c r="R56" s="96">
        <f t="shared" si="12"/>
        <v>0</v>
      </c>
      <c r="S56" s="96">
        <f t="shared" si="13"/>
        <v>0</v>
      </c>
    </row>
    <row r="57" spans="2:19" ht="15" x14ac:dyDescent="0.2">
      <c r="B57" s="48">
        <f t="shared" si="3"/>
        <v>48</v>
      </c>
      <c r="C57" s="97">
        <v>5</v>
      </c>
      <c r="D57" s="444" t="s">
        <v>406</v>
      </c>
      <c r="E57" s="445"/>
      <c r="F57" s="445"/>
      <c r="G57" s="445"/>
      <c r="H57" s="446"/>
      <c r="I57" s="52">
        <v>0</v>
      </c>
      <c r="J57" s="52">
        <v>0</v>
      </c>
      <c r="K57" s="52">
        <f t="shared" si="4"/>
        <v>0</v>
      </c>
      <c r="L57" s="53"/>
      <c r="M57" s="52">
        <v>0</v>
      </c>
      <c r="N57" s="52">
        <v>0</v>
      </c>
      <c r="O57" s="52">
        <f t="shared" si="5"/>
        <v>0</v>
      </c>
      <c r="P57" s="54"/>
      <c r="Q57" s="72">
        <f t="shared" si="11"/>
        <v>0</v>
      </c>
      <c r="R57" s="72">
        <f t="shared" si="12"/>
        <v>0</v>
      </c>
      <c r="S57" s="72">
        <f t="shared" si="13"/>
        <v>0</v>
      </c>
    </row>
    <row r="58" spans="2:19" ht="15" x14ac:dyDescent="0.2">
      <c r="B58" s="48">
        <f t="shared" si="3"/>
        <v>49</v>
      </c>
      <c r="C58" s="97">
        <v>6</v>
      </c>
      <c r="D58" s="444" t="s">
        <v>407</v>
      </c>
      <c r="E58" s="445"/>
      <c r="F58" s="445"/>
      <c r="G58" s="445"/>
      <c r="H58" s="446"/>
      <c r="I58" s="52">
        <v>0</v>
      </c>
      <c r="J58" s="52">
        <v>0</v>
      </c>
      <c r="K58" s="52">
        <f t="shared" si="4"/>
        <v>0</v>
      </c>
      <c r="L58" s="53"/>
      <c r="M58" s="52">
        <v>0</v>
      </c>
      <c r="N58" s="52">
        <v>0</v>
      </c>
      <c r="O58" s="52">
        <f t="shared" si="5"/>
        <v>0</v>
      </c>
      <c r="P58" s="54"/>
      <c r="Q58" s="72">
        <f t="shared" si="11"/>
        <v>0</v>
      </c>
      <c r="R58" s="72">
        <f t="shared" si="12"/>
        <v>0</v>
      </c>
      <c r="S58" s="72">
        <f t="shared" si="13"/>
        <v>0</v>
      </c>
    </row>
    <row r="59" spans="2:19" ht="15" x14ac:dyDescent="0.2">
      <c r="B59" s="48">
        <f t="shared" si="3"/>
        <v>50</v>
      </c>
      <c r="C59" s="51">
        <v>7</v>
      </c>
      <c r="D59" s="438" t="s">
        <v>246</v>
      </c>
      <c r="E59" s="439"/>
      <c r="F59" s="439"/>
      <c r="G59" s="439"/>
      <c r="H59" s="439"/>
      <c r="I59" s="52">
        <f>I60+I61+I65</f>
        <v>180785</v>
      </c>
      <c r="J59" s="52">
        <f>J60+J61+J65</f>
        <v>0</v>
      </c>
      <c r="K59" s="52">
        <f t="shared" si="4"/>
        <v>180785</v>
      </c>
      <c r="L59" s="53"/>
      <c r="M59" s="52">
        <v>0</v>
      </c>
      <c r="N59" s="52">
        <v>0</v>
      </c>
      <c r="O59" s="52">
        <f t="shared" si="5"/>
        <v>0</v>
      </c>
      <c r="P59" s="54"/>
      <c r="Q59" s="72">
        <f t="shared" si="11"/>
        <v>180785</v>
      </c>
      <c r="R59" s="72">
        <f t="shared" si="12"/>
        <v>0</v>
      </c>
      <c r="S59" s="72">
        <f t="shared" si="13"/>
        <v>180785</v>
      </c>
    </row>
    <row r="60" spans="2:19" x14ac:dyDescent="0.2">
      <c r="B60" s="48">
        <f t="shared" si="3"/>
        <v>51</v>
      </c>
      <c r="C60" s="9"/>
      <c r="D60" s="9"/>
      <c r="E60" s="9"/>
      <c r="F60" s="61" t="s">
        <v>74</v>
      </c>
      <c r="G60" s="8">
        <v>620</v>
      </c>
      <c r="H60" s="9" t="s">
        <v>125</v>
      </c>
      <c r="I60" s="62">
        <v>2000</v>
      </c>
      <c r="J60" s="62"/>
      <c r="K60" s="62">
        <f t="shared" si="4"/>
        <v>2000</v>
      </c>
      <c r="L60" s="62"/>
      <c r="M60" s="62"/>
      <c r="N60" s="62"/>
      <c r="O60" s="62">
        <f t="shared" si="5"/>
        <v>0</v>
      </c>
      <c r="P60" s="63"/>
      <c r="Q60" s="64">
        <f t="shared" si="11"/>
        <v>2000</v>
      </c>
      <c r="R60" s="64">
        <f t="shared" si="12"/>
        <v>0</v>
      </c>
      <c r="S60" s="64">
        <f t="shared" si="13"/>
        <v>2000</v>
      </c>
    </row>
    <row r="61" spans="2:19" x14ac:dyDescent="0.2">
      <c r="B61" s="48">
        <f t="shared" si="3"/>
        <v>52</v>
      </c>
      <c r="C61" s="9"/>
      <c r="D61" s="9"/>
      <c r="E61" s="9"/>
      <c r="F61" s="61" t="s">
        <v>74</v>
      </c>
      <c r="G61" s="8">
        <v>630</v>
      </c>
      <c r="H61" s="9" t="s">
        <v>122</v>
      </c>
      <c r="I61" s="62">
        <f>I64+I63+I62</f>
        <v>158785</v>
      </c>
      <c r="J61" s="62">
        <f>J64+J63+J62</f>
        <v>0</v>
      </c>
      <c r="K61" s="62">
        <f t="shared" si="4"/>
        <v>158785</v>
      </c>
      <c r="L61" s="62"/>
      <c r="M61" s="62"/>
      <c r="N61" s="62"/>
      <c r="O61" s="62">
        <f t="shared" si="5"/>
        <v>0</v>
      </c>
      <c r="P61" s="63"/>
      <c r="Q61" s="64">
        <f t="shared" si="11"/>
        <v>158785</v>
      </c>
      <c r="R61" s="64">
        <f t="shared" si="12"/>
        <v>0</v>
      </c>
      <c r="S61" s="64">
        <f t="shared" si="13"/>
        <v>158785</v>
      </c>
    </row>
    <row r="62" spans="2:19" x14ac:dyDescent="0.2">
      <c r="B62" s="48">
        <f t="shared" si="3"/>
        <v>53</v>
      </c>
      <c r="C62" s="11"/>
      <c r="D62" s="11"/>
      <c r="E62" s="11"/>
      <c r="F62" s="65"/>
      <c r="G62" s="10">
        <v>632</v>
      </c>
      <c r="H62" s="11" t="s">
        <v>135</v>
      </c>
      <c r="I62" s="66">
        <f>150000-9016+2500+2000+1</f>
        <v>145485</v>
      </c>
      <c r="J62" s="66"/>
      <c r="K62" s="66">
        <f t="shared" si="4"/>
        <v>145485</v>
      </c>
      <c r="L62" s="66"/>
      <c r="M62" s="66"/>
      <c r="N62" s="66"/>
      <c r="O62" s="66">
        <f t="shared" si="5"/>
        <v>0</v>
      </c>
      <c r="P62" s="67"/>
      <c r="Q62" s="68">
        <f t="shared" si="11"/>
        <v>145485</v>
      </c>
      <c r="R62" s="68">
        <f t="shared" si="12"/>
        <v>0</v>
      </c>
      <c r="S62" s="68">
        <f t="shared" si="13"/>
        <v>145485</v>
      </c>
    </row>
    <row r="63" spans="2:19" x14ac:dyDescent="0.2">
      <c r="B63" s="48">
        <f t="shared" si="3"/>
        <v>54</v>
      </c>
      <c r="C63" s="11"/>
      <c r="D63" s="11"/>
      <c r="E63" s="11"/>
      <c r="F63" s="65"/>
      <c r="G63" s="10">
        <v>633</v>
      </c>
      <c r="H63" s="11" t="s">
        <v>126</v>
      </c>
      <c r="I63" s="66">
        <v>5000</v>
      </c>
      <c r="J63" s="66"/>
      <c r="K63" s="66">
        <f t="shared" si="4"/>
        <v>5000</v>
      </c>
      <c r="L63" s="66"/>
      <c r="M63" s="66"/>
      <c r="N63" s="66"/>
      <c r="O63" s="66">
        <f t="shared" si="5"/>
        <v>0</v>
      </c>
      <c r="P63" s="67"/>
      <c r="Q63" s="68">
        <f t="shared" si="11"/>
        <v>5000</v>
      </c>
      <c r="R63" s="68">
        <f t="shared" si="12"/>
        <v>0</v>
      </c>
      <c r="S63" s="68">
        <f t="shared" si="13"/>
        <v>5000</v>
      </c>
    </row>
    <row r="64" spans="2:19" x14ac:dyDescent="0.2">
      <c r="B64" s="48">
        <f t="shared" si="3"/>
        <v>55</v>
      </c>
      <c r="C64" s="11"/>
      <c r="D64" s="11"/>
      <c r="E64" s="11"/>
      <c r="F64" s="65"/>
      <c r="G64" s="10">
        <v>637</v>
      </c>
      <c r="H64" s="11" t="s">
        <v>123</v>
      </c>
      <c r="I64" s="66">
        <v>8300</v>
      </c>
      <c r="J64" s="66"/>
      <c r="K64" s="66">
        <f t="shared" si="4"/>
        <v>8300</v>
      </c>
      <c r="L64" s="66"/>
      <c r="M64" s="66"/>
      <c r="N64" s="66"/>
      <c r="O64" s="66">
        <f t="shared" si="5"/>
        <v>0</v>
      </c>
      <c r="P64" s="67"/>
      <c r="Q64" s="68">
        <f t="shared" si="11"/>
        <v>8300</v>
      </c>
      <c r="R64" s="68">
        <f t="shared" si="12"/>
        <v>0</v>
      </c>
      <c r="S64" s="68">
        <f t="shared" si="13"/>
        <v>8300</v>
      </c>
    </row>
    <row r="65" spans="2:19" x14ac:dyDescent="0.2">
      <c r="B65" s="48">
        <f t="shared" si="3"/>
        <v>56</v>
      </c>
      <c r="C65" s="9"/>
      <c r="D65" s="9"/>
      <c r="E65" s="9"/>
      <c r="F65" s="61" t="s">
        <v>245</v>
      </c>
      <c r="G65" s="8">
        <v>630</v>
      </c>
      <c r="H65" s="9" t="s">
        <v>122</v>
      </c>
      <c r="I65" s="62">
        <f>I66</f>
        <v>20000</v>
      </c>
      <c r="J65" s="62">
        <f>J66</f>
        <v>0</v>
      </c>
      <c r="K65" s="62">
        <f t="shared" si="4"/>
        <v>20000</v>
      </c>
      <c r="L65" s="62"/>
      <c r="M65" s="62"/>
      <c r="N65" s="62"/>
      <c r="O65" s="62">
        <f t="shared" si="5"/>
        <v>0</v>
      </c>
      <c r="P65" s="63"/>
      <c r="Q65" s="64">
        <f t="shared" si="11"/>
        <v>20000</v>
      </c>
      <c r="R65" s="64">
        <f t="shared" si="12"/>
        <v>0</v>
      </c>
      <c r="S65" s="64">
        <f t="shared" si="13"/>
        <v>20000</v>
      </c>
    </row>
    <row r="66" spans="2:19" x14ac:dyDescent="0.2">
      <c r="B66" s="48">
        <f t="shared" si="3"/>
        <v>57</v>
      </c>
      <c r="C66" s="11"/>
      <c r="D66" s="11"/>
      <c r="E66" s="11"/>
      <c r="F66" s="65"/>
      <c r="G66" s="10">
        <v>637</v>
      </c>
      <c r="H66" s="11" t="s">
        <v>123</v>
      </c>
      <c r="I66" s="66">
        <v>20000</v>
      </c>
      <c r="J66" s="66"/>
      <c r="K66" s="66">
        <f t="shared" si="4"/>
        <v>20000</v>
      </c>
      <c r="L66" s="66"/>
      <c r="M66" s="66"/>
      <c r="N66" s="66"/>
      <c r="O66" s="66">
        <f t="shared" si="5"/>
        <v>0</v>
      </c>
      <c r="P66" s="67"/>
      <c r="Q66" s="68">
        <f t="shared" si="11"/>
        <v>20000</v>
      </c>
      <c r="R66" s="68">
        <f t="shared" si="12"/>
        <v>0</v>
      </c>
      <c r="S66" s="68">
        <f t="shared" si="13"/>
        <v>20000</v>
      </c>
    </row>
    <row r="67" spans="2:19" ht="15" x14ac:dyDescent="0.2">
      <c r="B67" s="48">
        <f t="shared" si="3"/>
        <v>58</v>
      </c>
      <c r="C67" s="51">
        <v>8</v>
      </c>
      <c r="D67" s="435" t="s">
        <v>264</v>
      </c>
      <c r="E67" s="436"/>
      <c r="F67" s="436"/>
      <c r="G67" s="436"/>
      <c r="H67" s="436"/>
      <c r="I67" s="52">
        <f>I68</f>
        <v>9900</v>
      </c>
      <c r="J67" s="52">
        <f>J68</f>
        <v>6600</v>
      </c>
      <c r="K67" s="52">
        <f t="shared" si="4"/>
        <v>16500</v>
      </c>
      <c r="L67" s="53"/>
      <c r="M67" s="52">
        <v>0</v>
      </c>
      <c r="N67" s="52">
        <v>0</v>
      </c>
      <c r="O67" s="52">
        <f t="shared" si="5"/>
        <v>0</v>
      </c>
      <c r="P67" s="54"/>
      <c r="Q67" s="72">
        <f t="shared" si="11"/>
        <v>9900</v>
      </c>
      <c r="R67" s="72">
        <f t="shared" si="12"/>
        <v>6600</v>
      </c>
      <c r="S67" s="72">
        <f t="shared" si="13"/>
        <v>16500</v>
      </c>
    </row>
    <row r="68" spans="2:19" x14ac:dyDescent="0.2">
      <c r="B68" s="48">
        <f t="shared" si="3"/>
        <v>59</v>
      </c>
      <c r="C68" s="9"/>
      <c r="D68" s="9"/>
      <c r="E68" s="9"/>
      <c r="F68" s="61" t="s">
        <v>74</v>
      </c>
      <c r="G68" s="8">
        <v>640</v>
      </c>
      <c r="H68" s="9" t="s">
        <v>130</v>
      </c>
      <c r="I68" s="62">
        <f>I69</f>
        <v>9900</v>
      </c>
      <c r="J68" s="62">
        <f>J69</f>
        <v>6600</v>
      </c>
      <c r="K68" s="62">
        <f t="shared" si="4"/>
        <v>16500</v>
      </c>
      <c r="L68" s="62"/>
      <c r="M68" s="62"/>
      <c r="N68" s="62"/>
      <c r="O68" s="62">
        <f t="shared" si="5"/>
        <v>0</v>
      </c>
      <c r="P68" s="63"/>
      <c r="Q68" s="64">
        <f t="shared" si="11"/>
        <v>9900</v>
      </c>
      <c r="R68" s="64">
        <f t="shared" si="12"/>
        <v>6600</v>
      </c>
      <c r="S68" s="64">
        <f t="shared" si="13"/>
        <v>16500</v>
      </c>
    </row>
    <row r="69" spans="2:19" x14ac:dyDescent="0.2">
      <c r="B69" s="48">
        <f t="shared" si="3"/>
        <v>60</v>
      </c>
      <c r="C69" s="11"/>
      <c r="D69" s="11"/>
      <c r="E69" s="11"/>
      <c r="F69" s="65"/>
      <c r="G69" s="10">
        <v>642</v>
      </c>
      <c r="H69" s="11" t="s">
        <v>131</v>
      </c>
      <c r="I69" s="66">
        <v>9900</v>
      </c>
      <c r="J69" s="66">
        <v>6600</v>
      </c>
      <c r="K69" s="66">
        <f t="shared" si="4"/>
        <v>16500</v>
      </c>
      <c r="L69" s="66"/>
      <c r="M69" s="66"/>
      <c r="N69" s="66"/>
      <c r="O69" s="66">
        <f t="shared" si="5"/>
        <v>0</v>
      </c>
      <c r="P69" s="67"/>
      <c r="Q69" s="68">
        <f t="shared" si="11"/>
        <v>9900</v>
      </c>
      <c r="R69" s="68">
        <f t="shared" si="12"/>
        <v>6600</v>
      </c>
      <c r="S69" s="68">
        <f t="shared" si="13"/>
        <v>16500</v>
      </c>
    </row>
    <row r="70" spans="2:19" ht="15" x14ac:dyDescent="0.2">
      <c r="B70" s="48">
        <f t="shared" si="3"/>
        <v>61</v>
      </c>
      <c r="C70" s="98">
        <v>9</v>
      </c>
      <c r="D70" s="431" t="s">
        <v>179</v>
      </c>
      <c r="E70" s="432"/>
      <c r="F70" s="432"/>
      <c r="G70" s="432"/>
      <c r="H70" s="432"/>
      <c r="I70" s="99">
        <v>93432</v>
      </c>
      <c r="J70" s="99">
        <v>0</v>
      </c>
      <c r="K70" s="99">
        <f t="shared" si="4"/>
        <v>93432</v>
      </c>
      <c r="L70" s="100"/>
      <c r="M70" s="99">
        <v>0</v>
      </c>
      <c r="N70" s="99">
        <v>0</v>
      </c>
      <c r="O70" s="99">
        <f t="shared" si="5"/>
        <v>0</v>
      </c>
      <c r="P70" s="101"/>
      <c r="Q70" s="102">
        <f t="shared" si="11"/>
        <v>93432</v>
      </c>
      <c r="R70" s="102">
        <f t="shared" si="12"/>
        <v>0</v>
      </c>
      <c r="S70" s="102">
        <f t="shared" si="13"/>
        <v>93432</v>
      </c>
    </row>
    <row r="73" spans="2:19" ht="27.75" x14ac:dyDescent="0.4">
      <c r="B73" s="429" t="s">
        <v>15</v>
      </c>
      <c r="C73" s="430"/>
      <c r="D73" s="430"/>
      <c r="E73" s="430"/>
      <c r="F73" s="430"/>
      <c r="G73" s="430"/>
      <c r="H73" s="430"/>
      <c r="I73" s="430"/>
      <c r="J73" s="430"/>
      <c r="K73" s="430"/>
      <c r="L73" s="430"/>
      <c r="M73" s="430"/>
      <c r="N73" s="430"/>
      <c r="O73" s="430"/>
      <c r="P73" s="430"/>
      <c r="Q73" s="430"/>
    </row>
    <row r="74" spans="2:19" ht="12.75" customHeight="1" x14ac:dyDescent="0.2">
      <c r="B74" s="459" t="s">
        <v>422</v>
      </c>
      <c r="C74" s="459"/>
      <c r="D74" s="459"/>
      <c r="E74" s="459"/>
      <c r="F74" s="459"/>
      <c r="G74" s="459"/>
      <c r="H74" s="459"/>
      <c r="I74" s="459"/>
      <c r="J74" s="459"/>
      <c r="K74" s="459"/>
      <c r="L74" s="459"/>
      <c r="M74" s="459"/>
      <c r="N74" s="459"/>
      <c r="O74" s="459"/>
      <c r="P74" s="390"/>
      <c r="Q74" s="408" t="s">
        <v>595</v>
      </c>
      <c r="R74" s="408" t="s">
        <v>591</v>
      </c>
      <c r="S74" s="408" t="s">
        <v>566</v>
      </c>
    </row>
    <row r="75" spans="2:19" ht="12.75" customHeight="1" x14ac:dyDescent="0.2">
      <c r="B75" s="458"/>
      <c r="C75" s="437" t="s">
        <v>115</v>
      </c>
      <c r="D75" s="437" t="s">
        <v>116</v>
      </c>
      <c r="E75" s="452"/>
      <c r="F75" s="437" t="s">
        <v>117</v>
      </c>
      <c r="G75" s="443" t="s">
        <v>118</v>
      </c>
      <c r="H75" s="449" t="s">
        <v>119</v>
      </c>
      <c r="I75" s="408" t="s">
        <v>593</v>
      </c>
      <c r="J75" s="408" t="s">
        <v>591</v>
      </c>
      <c r="K75" s="408" t="s">
        <v>566</v>
      </c>
      <c r="L75" s="391"/>
      <c r="M75" s="408" t="s">
        <v>594</v>
      </c>
      <c r="N75" s="408" t="s">
        <v>591</v>
      </c>
      <c r="O75" s="408" t="s">
        <v>566</v>
      </c>
      <c r="P75" s="391"/>
      <c r="Q75" s="408"/>
      <c r="R75" s="408"/>
      <c r="S75" s="408"/>
    </row>
    <row r="76" spans="2:19" ht="13.5" customHeight="1" x14ac:dyDescent="0.2">
      <c r="B76" s="458"/>
      <c r="C76" s="437"/>
      <c r="D76" s="437"/>
      <c r="E76" s="452"/>
      <c r="F76" s="437"/>
      <c r="G76" s="443"/>
      <c r="H76" s="449"/>
      <c r="I76" s="408"/>
      <c r="J76" s="408"/>
      <c r="K76" s="408"/>
      <c r="L76" s="391"/>
      <c r="M76" s="408"/>
      <c r="N76" s="408"/>
      <c r="O76" s="408"/>
      <c r="P76" s="391"/>
      <c r="Q76" s="408"/>
      <c r="R76" s="408"/>
      <c r="S76" s="408"/>
    </row>
    <row r="77" spans="2:19" ht="13.5" customHeight="1" x14ac:dyDescent="0.2">
      <c r="B77" s="458"/>
      <c r="C77" s="437"/>
      <c r="D77" s="437"/>
      <c r="E77" s="452"/>
      <c r="F77" s="437"/>
      <c r="G77" s="443"/>
      <c r="H77" s="449"/>
      <c r="I77" s="408"/>
      <c r="J77" s="408"/>
      <c r="K77" s="408"/>
      <c r="L77" s="391"/>
      <c r="M77" s="408"/>
      <c r="N77" s="408"/>
      <c r="O77" s="408"/>
      <c r="P77" s="391"/>
      <c r="Q77" s="408"/>
      <c r="R77" s="408"/>
      <c r="S77" s="408"/>
    </row>
    <row r="78" spans="2:19" ht="12.75" customHeight="1" x14ac:dyDescent="0.2">
      <c r="B78" s="458"/>
      <c r="C78" s="437"/>
      <c r="D78" s="437"/>
      <c r="E78" s="452"/>
      <c r="F78" s="437"/>
      <c r="G78" s="443"/>
      <c r="H78" s="449"/>
      <c r="I78" s="408"/>
      <c r="J78" s="408"/>
      <c r="K78" s="408"/>
      <c r="L78" s="391"/>
      <c r="M78" s="408"/>
      <c r="N78" s="408"/>
      <c r="O78" s="408"/>
      <c r="P78" s="391"/>
      <c r="Q78" s="408"/>
      <c r="R78" s="408"/>
      <c r="S78" s="408"/>
    </row>
    <row r="79" spans="2:19" ht="15.75" x14ac:dyDescent="0.2">
      <c r="B79" s="48">
        <v>1</v>
      </c>
      <c r="C79" s="453" t="s">
        <v>15</v>
      </c>
      <c r="D79" s="454"/>
      <c r="E79" s="454"/>
      <c r="F79" s="454"/>
      <c r="G79" s="454"/>
      <c r="H79" s="454"/>
      <c r="I79" s="49">
        <f>I80+I88</f>
        <v>146040</v>
      </c>
      <c r="J79" s="49">
        <f>J80+J88</f>
        <v>0</v>
      </c>
      <c r="K79" s="49">
        <f>I79+J79</f>
        <v>146040</v>
      </c>
      <c r="L79" s="394"/>
      <c r="M79" s="49"/>
      <c r="N79" s="49"/>
      <c r="O79" s="49"/>
      <c r="P79" s="392"/>
      <c r="Q79" s="50">
        <f t="shared" ref="Q79:Q92" si="22">I79+M79</f>
        <v>146040</v>
      </c>
      <c r="R79" s="50">
        <f t="shared" ref="R79:R92" si="23">J79+N79</f>
        <v>0</v>
      </c>
      <c r="S79" s="50">
        <f t="shared" ref="S79:S92" si="24">K79+O79</f>
        <v>146040</v>
      </c>
    </row>
    <row r="80" spans="2:19" ht="18" customHeight="1" x14ac:dyDescent="0.2">
      <c r="B80" s="48">
        <f t="shared" ref="B80:B92" si="25">B79+1</f>
        <v>2</v>
      </c>
      <c r="C80" s="51">
        <v>1</v>
      </c>
      <c r="D80" s="435" t="s">
        <v>196</v>
      </c>
      <c r="E80" s="436"/>
      <c r="F80" s="436"/>
      <c r="G80" s="436"/>
      <c r="H80" s="436"/>
      <c r="I80" s="52">
        <f>I81+I83+I85+I86</f>
        <v>101540</v>
      </c>
      <c r="J80" s="52">
        <f>J81+J83+J85+J86</f>
        <v>0</v>
      </c>
      <c r="K80" s="52">
        <f t="shared" ref="K80:K92" si="26">I80+J80</f>
        <v>101540</v>
      </c>
      <c r="L80" s="53"/>
      <c r="M80" s="52"/>
      <c r="N80" s="52"/>
      <c r="O80" s="52"/>
      <c r="P80" s="54"/>
      <c r="Q80" s="72">
        <f t="shared" si="22"/>
        <v>101540</v>
      </c>
      <c r="R80" s="72">
        <f t="shared" si="23"/>
        <v>0</v>
      </c>
      <c r="S80" s="72">
        <f t="shared" si="24"/>
        <v>101540</v>
      </c>
    </row>
    <row r="81" spans="2:19" x14ac:dyDescent="0.2">
      <c r="B81" s="48">
        <f t="shared" si="25"/>
        <v>3</v>
      </c>
      <c r="C81" s="9"/>
      <c r="D81" s="9"/>
      <c r="E81" s="9"/>
      <c r="F81" s="61" t="s">
        <v>74</v>
      </c>
      <c r="G81" s="8">
        <v>630</v>
      </c>
      <c r="H81" s="9" t="s">
        <v>357</v>
      </c>
      <c r="I81" s="62">
        <f>I82</f>
        <v>19940</v>
      </c>
      <c r="J81" s="62">
        <f>J82</f>
        <v>0</v>
      </c>
      <c r="K81" s="62">
        <f t="shared" si="26"/>
        <v>19940</v>
      </c>
      <c r="L81" s="62"/>
      <c r="M81" s="62"/>
      <c r="N81" s="62"/>
      <c r="O81" s="62"/>
      <c r="P81" s="63"/>
      <c r="Q81" s="64">
        <f t="shared" si="22"/>
        <v>19940</v>
      </c>
      <c r="R81" s="64">
        <f t="shared" si="23"/>
        <v>0</v>
      </c>
      <c r="S81" s="64">
        <f t="shared" si="24"/>
        <v>19940</v>
      </c>
    </row>
    <row r="82" spans="2:19" x14ac:dyDescent="0.2">
      <c r="B82" s="48">
        <f t="shared" si="25"/>
        <v>4</v>
      </c>
      <c r="C82" s="11"/>
      <c r="D82" s="11"/>
      <c r="E82" s="11"/>
      <c r="F82" s="65"/>
      <c r="G82" s="10">
        <v>637</v>
      </c>
      <c r="H82" s="11" t="s">
        <v>123</v>
      </c>
      <c r="I82" s="66">
        <v>19940</v>
      </c>
      <c r="J82" s="66"/>
      <c r="K82" s="66">
        <f t="shared" si="26"/>
        <v>19940</v>
      </c>
      <c r="L82" s="66"/>
      <c r="M82" s="66"/>
      <c r="N82" s="66"/>
      <c r="O82" s="66"/>
      <c r="P82" s="67"/>
      <c r="Q82" s="68">
        <f t="shared" si="22"/>
        <v>19940</v>
      </c>
      <c r="R82" s="68">
        <f t="shared" si="23"/>
        <v>0</v>
      </c>
      <c r="S82" s="68">
        <f t="shared" si="24"/>
        <v>19940</v>
      </c>
    </row>
    <row r="83" spans="2:19" x14ac:dyDescent="0.2">
      <c r="B83" s="48">
        <f t="shared" si="25"/>
        <v>5</v>
      </c>
      <c r="C83" s="11"/>
      <c r="D83" s="11"/>
      <c r="E83" s="11"/>
      <c r="F83" s="61" t="s">
        <v>243</v>
      </c>
      <c r="G83" s="8">
        <v>630</v>
      </c>
      <c r="H83" s="9" t="s">
        <v>122</v>
      </c>
      <c r="I83" s="62">
        <f>I84</f>
        <v>19000</v>
      </c>
      <c r="J83" s="62">
        <f>J84</f>
        <v>0</v>
      </c>
      <c r="K83" s="62">
        <f t="shared" si="26"/>
        <v>19000</v>
      </c>
      <c r="L83" s="62"/>
      <c r="M83" s="62"/>
      <c r="N83" s="62"/>
      <c r="O83" s="62"/>
      <c r="P83" s="63"/>
      <c r="Q83" s="64">
        <f t="shared" si="22"/>
        <v>19000</v>
      </c>
      <c r="R83" s="64">
        <f t="shared" si="23"/>
        <v>0</v>
      </c>
      <c r="S83" s="64">
        <f t="shared" si="24"/>
        <v>19000</v>
      </c>
    </row>
    <row r="84" spans="2:19" x14ac:dyDescent="0.2">
      <c r="B84" s="48">
        <f t="shared" si="25"/>
        <v>6</v>
      </c>
      <c r="C84" s="11"/>
      <c r="D84" s="11"/>
      <c r="E84" s="11"/>
      <c r="F84" s="65"/>
      <c r="G84" s="10">
        <v>637</v>
      </c>
      <c r="H84" s="11" t="s">
        <v>346</v>
      </c>
      <c r="I84" s="66">
        <f>20000*0.95</f>
        <v>19000</v>
      </c>
      <c r="J84" s="66"/>
      <c r="K84" s="66">
        <f t="shared" si="26"/>
        <v>19000</v>
      </c>
      <c r="L84" s="66"/>
      <c r="M84" s="66"/>
      <c r="N84" s="66"/>
      <c r="O84" s="66"/>
      <c r="P84" s="67"/>
      <c r="Q84" s="68">
        <f t="shared" si="22"/>
        <v>19000</v>
      </c>
      <c r="R84" s="68">
        <f t="shared" si="23"/>
        <v>0</v>
      </c>
      <c r="S84" s="68">
        <f t="shared" si="24"/>
        <v>19000</v>
      </c>
    </row>
    <row r="85" spans="2:19" x14ac:dyDescent="0.2">
      <c r="B85" s="48">
        <f t="shared" si="25"/>
        <v>7</v>
      </c>
      <c r="C85" s="9"/>
      <c r="D85" s="9"/>
      <c r="E85" s="9"/>
      <c r="F85" s="61" t="s">
        <v>75</v>
      </c>
      <c r="G85" s="8">
        <v>600</v>
      </c>
      <c r="H85" s="9" t="s">
        <v>347</v>
      </c>
      <c r="I85" s="62">
        <v>28000</v>
      </c>
      <c r="J85" s="62"/>
      <c r="K85" s="62">
        <f t="shared" si="26"/>
        <v>28000</v>
      </c>
      <c r="L85" s="62"/>
      <c r="M85" s="62"/>
      <c r="N85" s="62"/>
      <c r="O85" s="62"/>
      <c r="P85" s="63"/>
      <c r="Q85" s="64">
        <f t="shared" si="22"/>
        <v>28000</v>
      </c>
      <c r="R85" s="64">
        <f t="shared" si="23"/>
        <v>0</v>
      </c>
      <c r="S85" s="64">
        <f t="shared" si="24"/>
        <v>28000</v>
      </c>
    </row>
    <row r="86" spans="2:19" x14ac:dyDescent="0.2">
      <c r="B86" s="48">
        <f t="shared" si="25"/>
        <v>8</v>
      </c>
      <c r="C86" s="9"/>
      <c r="D86" s="9"/>
      <c r="E86" s="9"/>
      <c r="F86" s="61" t="s">
        <v>218</v>
      </c>
      <c r="G86" s="8">
        <v>630</v>
      </c>
      <c r="H86" s="9" t="s">
        <v>358</v>
      </c>
      <c r="I86" s="62">
        <f>I87</f>
        <v>34600</v>
      </c>
      <c r="J86" s="62">
        <f>J87</f>
        <v>0</v>
      </c>
      <c r="K86" s="62">
        <f t="shared" si="26"/>
        <v>34600</v>
      </c>
      <c r="L86" s="62"/>
      <c r="M86" s="62"/>
      <c r="N86" s="62"/>
      <c r="O86" s="62"/>
      <c r="P86" s="63"/>
      <c r="Q86" s="64">
        <f t="shared" si="22"/>
        <v>34600</v>
      </c>
      <c r="R86" s="64">
        <f t="shared" si="23"/>
        <v>0</v>
      </c>
      <c r="S86" s="64">
        <f t="shared" si="24"/>
        <v>34600</v>
      </c>
    </row>
    <row r="87" spans="2:19" x14ac:dyDescent="0.2">
      <c r="B87" s="48">
        <f t="shared" si="25"/>
        <v>9</v>
      </c>
      <c r="C87" s="9"/>
      <c r="D87" s="9"/>
      <c r="E87" s="9"/>
      <c r="F87" s="65"/>
      <c r="G87" s="10">
        <v>637</v>
      </c>
      <c r="H87" s="11" t="s">
        <v>123</v>
      </c>
      <c r="I87" s="66">
        <f>33000+1600</f>
        <v>34600</v>
      </c>
      <c r="J87" s="66"/>
      <c r="K87" s="66">
        <f t="shared" si="26"/>
        <v>34600</v>
      </c>
      <c r="L87" s="66"/>
      <c r="M87" s="62"/>
      <c r="N87" s="62"/>
      <c r="O87" s="62"/>
      <c r="P87" s="63"/>
      <c r="Q87" s="68">
        <f t="shared" si="22"/>
        <v>34600</v>
      </c>
      <c r="R87" s="68">
        <f t="shared" si="23"/>
        <v>0</v>
      </c>
      <c r="S87" s="68">
        <f t="shared" si="24"/>
        <v>34600</v>
      </c>
    </row>
    <row r="88" spans="2:19" s="103" customFormat="1" ht="15" x14ac:dyDescent="0.2">
      <c r="B88" s="48">
        <f t="shared" si="25"/>
        <v>10</v>
      </c>
      <c r="C88" s="51">
        <v>2</v>
      </c>
      <c r="D88" s="435" t="s">
        <v>244</v>
      </c>
      <c r="E88" s="436"/>
      <c r="F88" s="436"/>
      <c r="G88" s="436"/>
      <c r="H88" s="436"/>
      <c r="I88" s="52">
        <f>+I89+I91</f>
        <v>44500</v>
      </c>
      <c r="J88" s="52">
        <f>+J89+J91</f>
        <v>0</v>
      </c>
      <c r="K88" s="52">
        <f t="shared" si="26"/>
        <v>44500</v>
      </c>
      <c r="L88" s="53"/>
      <c r="M88" s="52"/>
      <c r="N88" s="52"/>
      <c r="O88" s="52"/>
      <c r="P88" s="54"/>
      <c r="Q88" s="72">
        <f t="shared" si="22"/>
        <v>44500</v>
      </c>
      <c r="R88" s="72">
        <f t="shared" si="23"/>
        <v>0</v>
      </c>
      <c r="S88" s="72">
        <f t="shared" si="24"/>
        <v>44500</v>
      </c>
    </row>
    <row r="89" spans="2:19" s="103" customFormat="1" x14ac:dyDescent="0.2">
      <c r="B89" s="48">
        <f t="shared" si="25"/>
        <v>11</v>
      </c>
      <c r="C89" s="9"/>
      <c r="D89" s="9"/>
      <c r="E89" s="9"/>
      <c r="F89" s="61" t="s">
        <v>243</v>
      </c>
      <c r="G89" s="8">
        <v>630</v>
      </c>
      <c r="H89" s="9" t="s">
        <v>122</v>
      </c>
      <c r="I89" s="62">
        <f>I90</f>
        <v>4500</v>
      </c>
      <c r="J89" s="62">
        <f>J90</f>
        <v>0</v>
      </c>
      <c r="K89" s="62">
        <f t="shared" si="26"/>
        <v>4500</v>
      </c>
      <c r="L89" s="62"/>
      <c r="M89" s="62"/>
      <c r="N89" s="62"/>
      <c r="O89" s="62"/>
      <c r="P89" s="63"/>
      <c r="Q89" s="64">
        <f t="shared" si="22"/>
        <v>4500</v>
      </c>
      <c r="R89" s="64">
        <f t="shared" si="23"/>
        <v>0</v>
      </c>
      <c r="S89" s="64">
        <f t="shared" si="24"/>
        <v>4500</v>
      </c>
    </row>
    <row r="90" spans="2:19" s="103" customFormat="1" x14ac:dyDescent="0.2">
      <c r="B90" s="48">
        <f t="shared" si="25"/>
        <v>12</v>
      </c>
      <c r="C90" s="11"/>
      <c r="D90" s="11"/>
      <c r="E90" s="11"/>
      <c r="F90" s="65"/>
      <c r="G90" s="10">
        <v>637</v>
      </c>
      <c r="H90" s="11" t="s">
        <v>123</v>
      </c>
      <c r="I90" s="66">
        <v>4500</v>
      </c>
      <c r="J90" s="66"/>
      <c r="K90" s="66">
        <f t="shared" si="26"/>
        <v>4500</v>
      </c>
      <c r="L90" s="66"/>
      <c r="M90" s="66"/>
      <c r="N90" s="66"/>
      <c r="O90" s="66"/>
      <c r="P90" s="67"/>
      <c r="Q90" s="68">
        <f t="shared" si="22"/>
        <v>4500</v>
      </c>
      <c r="R90" s="68">
        <f t="shared" si="23"/>
        <v>0</v>
      </c>
      <c r="S90" s="68">
        <f t="shared" si="24"/>
        <v>4500</v>
      </c>
    </row>
    <row r="91" spans="2:19" s="103" customFormat="1" x14ac:dyDescent="0.2">
      <c r="B91" s="48">
        <f t="shared" si="25"/>
        <v>13</v>
      </c>
      <c r="C91" s="9"/>
      <c r="D91" s="9"/>
      <c r="E91" s="9"/>
      <c r="F91" s="61" t="s">
        <v>243</v>
      </c>
      <c r="G91" s="8">
        <v>640</v>
      </c>
      <c r="H91" s="9" t="s">
        <v>130</v>
      </c>
      <c r="I91" s="62">
        <f>I92</f>
        <v>40000</v>
      </c>
      <c r="J91" s="62">
        <f>J92</f>
        <v>0</v>
      </c>
      <c r="K91" s="62">
        <f t="shared" si="26"/>
        <v>40000</v>
      </c>
      <c r="L91" s="62"/>
      <c r="M91" s="62"/>
      <c r="N91" s="62"/>
      <c r="O91" s="62"/>
      <c r="P91" s="63"/>
      <c r="Q91" s="64">
        <f t="shared" si="22"/>
        <v>40000</v>
      </c>
      <c r="R91" s="64">
        <f t="shared" si="23"/>
        <v>0</v>
      </c>
      <c r="S91" s="64">
        <f t="shared" si="24"/>
        <v>40000</v>
      </c>
    </row>
    <row r="92" spans="2:19" x14ac:dyDescent="0.2">
      <c r="B92" s="48">
        <f t="shared" si="25"/>
        <v>14</v>
      </c>
      <c r="C92" s="104"/>
      <c r="D92" s="104"/>
      <c r="E92" s="104"/>
      <c r="F92" s="105"/>
      <c r="G92" s="105"/>
      <c r="H92" s="104" t="s">
        <v>336</v>
      </c>
      <c r="I92" s="106">
        <f>24000+16000</f>
        <v>40000</v>
      </c>
      <c r="J92" s="106"/>
      <c r="K92" s="106">
        <f t="shared" si="26"/>
        <v>40000</v>
      </c>
      <c r="L92" s="106"/>
      <c r="M92" s="106"/>
      <c r="N92" s="106"/>
      <c r="O92" s="106"/>
      <c r="P92" s="107"/>
      <c r="Q92" s="108">
        <f t="shared" si="22"/>
        <v>40000</v>
      </c>
      <c r="R92" s="108">
        <f t="shared" si="23"/>
        <v>0</v>
      </c>
      <c r="S92" s="108">
        <f t="shared" si="24"/>
        <v>40000</v>
      </c>
    </row>
    <row r="93" spans="2:19" x14ac:dyDescent="0.2">
      <c r="B93" s="1"/>
      <c r="F93" s="1"/>
      <c r="G93" s="1"/>
      <c r="I93" s="1"/>
      <c r="J93" s="1"/>
      <c r="K93" s="1"/>
      <c r="L93" s="1"/>
      <c r="M93" s="1"/>
      <c r="N93" s="1"/>
      <c r="O93" s="1"/>
      <c r="P93" s="1"/>
      <c r="Q93" s="1"/>
    </row>
    <row r="94" spans="2:19" x14ac:dyDescent="0.2">
      <c r="B94" s="1"/>
      <c r="F94" s="1"/>
      <c r="G94" s="1"/>
      <c r="I94" s="1"/>
      <c r="J94" s="1"/>
      <c r="K94" s="1"/>
      <c r="L94" s="1"/>
      <c r="M94" s="1"/>
      <c r="N94" s="1"/>
      <c r="O94" s="1"/>
      <c r="P94" s="1"/>
      <c r="Q94" s="1"/>
    </row>
    <row r="95" spans="2:19" ht="27.75" x14ac:dyDescent="0.4">
      <c r="B95" s="429" t="s">
        <v>16</v>
      </c>
      <c r="C95" s="430"/>
      <c r="D95" s="430"/>
      <c r="E95" s="430"/>
      <c r="F95" s="430"/>
      <c r="G95" s="430"/>
      <c r="H95" s="430"/>
      <c r="I95" s="430"/>
      <c r="J95" s="430"/>
      <c r="K95" s="430"/>
      <c r="L95" s="430"/>
      <c r="M95" s="430"/>
      <c r="N95" s="430"/>
      <c r="O95" s="430"/>
      <c r="P95" s="430"/>
      <c r="Q95" s="430"/>
    </row>
    <row r="96" spans="2:19" ht="12.75" customHeight="1" x14ac:dyDescent="0.2">
      <c r="B96" s="459" t="s">
        <v>422</v>
      </c>
      <c r="C96" s="459"/>
      <c r="D96" s="459"/>
      <c r="E96" s="459"/>
      <c r="F96" s="459"/>
      <c r="G96" s="459"/>
      <c r="H96" s="459"/>
      <c r="I96" s="459"/>
      <c r="J96" s="459"/>
      <c r="K96" s="459"/>
      <c r="L96" s="459"/>
      <c r="M96" s="459"/>
      <c r="N96" s="459"/>
      <c r="O96" s="459"/>
      <c r="P96" s="390"/>
      <c r="Q96" s="408" t="s">
        <v>595</v>
      </c>
      <c r="R96" s="408" t="s">
        <v>591</v>
      </c>
      <c r="S96" s="408" t="s">
        <v>566</v>
      </c>
    </row>
    <row r="97" spans="2:19" ht="12.75" customHeight="1" x14ac:dyDescent="0.2">
      <c r="B97" s="458"/>
      <c r="C97" s="437" t="s">
        <v>115</v>
      </c>
      <c r="D97" s="437" t="s">
        <v>116</v>
      </c>
      <c r="E97" s="452"/>
      <c r="F97" s="437" t="s">
        <v>117</v>
      </c>
      <c r="G97" s="443" t="s">
        <v>118</v>
      </c>
      <c r="H97" s="449" t="s">
        <v>119</v>
      </c>
      <c r="I97" s="408" t="s">
        <v>593</v>
      </c>
      <c r="J97" s="408" t="s">
        <v>591</v>
      </c>
      <c r="K97" s="408" t="s">
        <v>566</v>
      </c>
      <c r="L97" s="391"/>
      <c r="M97" s="408" t="s">
        <v>594</v>
      </c>
      <c r="N97" s="408" t="s">
        <v>591</v>
      </c>
      <c r="O97" s="408" t="s">
        <v>566</v>
      </c>
      <c r="P97" s="391"/>
      <c r="Q97" s="408"/>
      <c r="R97" s="408"/>
      <c r="S97" s="408"/>
    </row>
    <row r="98" spans="2:19" x14ac:dyDescent="0.2">
      <c r="B98" s="458"/>
      <c r="C98" s="437"/>
      <c r="D98" s="437"/>
      <c r="E98" s="452"/>
      <c r="F98" s="437"/>
      <c r="G98" s="443"/>
      <c r="H98" s="449"/>
      <c r="I98" s="408"/>
      <c r="J98" s="408"/>
      <c r="K98" s="408"/>
      <c r="L98" s="391"/>
      <c r="M98" s="408"/>
      <c r="N98" s="408"/>
      <c r="O98" s="408"/>
      <c r="P98" s="391"/>
      <c r="Q98" s="408"/>
      <c r="R98" s="408"/>
      <c r="S98" s="408"/>
    </row>
    <row r="99" spans="2:19" x14ac:dyDescent="0.2">
      <c r="B99" s="458"/>
      <c r="C99" s="437"/>
      <c r="D99" s="437"/>
      <c r="E99" s="452"/>
      <c r="F99" s="437"/>
      <c r="G99" s="443"/>
      <c r="H99" s="449"/>
      <c r="I99" s="408"/>
      <c r="J99" s="408"/>
      <c r="K99" s="408"/>
      <c r="L99" s="391"/>
      <c r="M99" s="408"/>
      <c r="N99" s="408"/>
      <c r="O99" s="408"/>
      <c r="P99" s="391"/>
      <c r="Q99" s="408"/>
      <c r="R99" s="408"/>
      <c r="S99" s="408"/>
    </row>
    <row r="100" spans="2:19" x14ac:dyDescent="0.2">
      <c r="B100" s="458"/>
      <c r="C100" s="437"/>
      <c r="D100" s="437"/>
      <c r="E100" s="452"/>
      <c r="F100" s="437"/>
      <c r="G100" s="443"/>
      <c r="H100" s="449"/>
      <c r="I100" s="408"/>
      <c r="J100" s="408"/>
      <c r="K100" s="408"/>
      <c r="L100" s="391"/>
      <c r="M100" s="408"/>
      <c r="N100" s="408"/>
      <c r="O100" s="408"/>
      <c r="P100" s="391"/>
      <c r="Q100" s="408"/>
      <c r="R100" s="408"/>
      <c r="S100" s="408"/>
    </row>
    <row r="101" spans="2:19" ht="15.75" x14ac:dyDescent="0.2">
      <c r="B101" s="48">
        <v>1</v>
      </c>
      <c r="C101" s="453" t="s">
        <v>16</v>
      </c>
      <c r="D101" s="454"/>
      <c r="E101" s="454"/>
      <c r="F101" s="454"/>
      <c r="G101" s="454"/>
      <c r="H101" s="454"/>
      <c r="I101" s="49">
        <f>I181+I166+I161+I145+I128+I124+I105+I102</f>
        <v>7276625</v>
      </c>
      <c r="J101" s="49">
        <f>J181+J166+J161+J145+J128+J124+J105+J102</f>
        <v>53900</v>
      </c>
      <c r="K101" s="49">
        <f>I101+J101</f>
        <v>7330525</v>
      </c>
      <c r="L101" s="394"/>
      <c r="M101" s="49">
        <f>M181+M166+M161+M145+M128+M124+M105+M102</f>
        <v>3401581</v>
      </c>
      <c r="N101" s="49">
        <f>N181+N166+N161+N145+N128+N124+N105+N102</f>
        <v>532600</v>
      </c>
      <c r="O101" s="49">
        <f>M101+N101</f>
        <v>3934181</v>
      </c>
      <c r="P101" s="392"/>
      <c r="Q101" s="50">
        <f t="shared" ref="Q101:Q132" si="27">I101+M101</f>
        <v>10678206</v>
      </c>
      <c r="R101" s="50">
        <f t="shared" ref="R101:R132" si="28">J101+N101</f>
        <v>586500</v>
      </c>
      <c r="S101" s="50">
        <f t="shared" ref="S101:S132" si="29">K101+O101</f>
        <v>11264706</v>
      </c>
    </row>
    <row r="102" spans="2:19" ht="15" x14ac:dyDescent="0.2">
      <c r="B102" s="48">
        <f t="shared" ref="B102:B133" si="30">B101+1</f>
        <v>2</v>
      </c>
      <c r="C102" s="51">
        <v>1</v>
      </c>
      <c r="D102" s="435" t="s">
        <v>144</v>
      </c>
      <c r="E102" s="436"/>
      <c r="F102" s="436"/>
      <c r="G102" s="436"/>
      <c r="H102" s="436"/>
      <c r="I102" s="52">
        <f>I103</f>
        <v>110000</v>
      </c>
      <c r="J102" s="52">
        <f>J103</f>
        <v>0</v>
      </c>
      <c r="K102" s="52">
        <f t="shared" ref="K102:K170" si="31">I102+J102</f>
        <v>110000</v>
      </c>
      <c r="L102" s="53"/>
      <c r="M102" s="52"/>
      <c r="N102" s="52"/>
      <c r="O102" s="52">
        <f t="shared" ref="O102:O170" si="32">M102+N102</f>
        <v>0</v>
      </c>
      <c r="P102" s="54"/>
      <c r="Q102" s="72">
        <f t="shared" si="27"/>
        <v>110000</v>
      </c>
      <c r="R102" s="72">
        <f t="shared" si="28"/>
        <v>0</v>
      </c>
      <c r="S102" s="72">
        <f t="shared" si="29"/>
        <v>110000</v>
      </c>
    </row>
    <row r="103" spans="2:19" x14ac:dyDescent="0.2">
      <c r="B103" s="48">
        <f t="shared" si="30"/>
        <v>3</v>
      </c>
      <c r="C103" s="9"/>
      <c r="D103" s="9"/>
      <c r="E103" s="9"/>
      <c r="F103" s="61" t="s">
        <v>74</v>
      </c>
      <c r="G103" s="8">
        <v>630</v>
      </c>
      <c r="H103" s="9" t="s">
        <v>122</v>
      </c>
      <c r="I103" s="62">
        <f>I104</f>
        <v>110000</v>
      </c>
      <c r="J103" s="62">
        <f>J104</f>
        <v>0</v>
      </c>
      <c r="K103" s="62">
        <f t="shared" si="31"/>
        <v>110000</v>
      </c>
      <c r="L103" s="62"/>
      <c r="M103" s="62"/>
      <c r="N103" s="62"/>
      <c r="O103" s="62">
        <f t="shared" si="32"/>
        <v>0</v>
      </c>
      <c r="P103" s="63"/>
      <c r="Q103" s="64">
        <f t="shared" si="27"/>
        <v>110000</v>
      </c>
      <c r="R103" s="64">
        <f t="shared" si="28"/>
        <v>0</v>
      </c>
      <c r="S103" s="64">
        <f t="shared" si="29"/>
        <v>110000</v>
      </c>
    </row>
    <row r="104" spans="2:19" x14ac:dyDescent="0.2">
      <c r="B104" s="48">
        <f t="shared" si="30"/>
        <v>4</v>
      </c>
      <c r="C104" s="11"/>
      <c r="D104" s="11"/>
      <c r="E104" s="11"/>
      <c r="F104" s="65"/>
      <c r="G104" s="10">
        <v>637</v>
      </c>
      <c r="H104" s="11" t="s">
        <v>123</v>
      </c>
      <c r="I104" s="66">
        <v>110000</v>
      </c>
      <c r="J104" s="66"/>
      <c r="K104" s="66">
        <f t="shared" si="31"/>
        <v>110000</v>
      </c>
      <c r="L104" s="66"/>
      <c r="M104" s="66"/>
      <c r="N104" s="66"/>
      <c r="O104" s="66">
        <f t="shared" si="32"/>
        <v>0</v>
      </c>
      <c r="P104" s="67"/>
      <c r="Q104" s="68">
        <f t="shared" si="27"/>
        <v>110000</v>
      </c>
      <c r="R104" s="68">
        <f t="shared" si="28"/>
        <v>0</v>
      </c>
      <c r="S104" s="68">
        <f t="shared" si="29"/>
        <v>110000</v>
      </c>
    </row>
    <row r="105" spans="2:19" ht="15" x14ac:dyDescent="0.2">
      <c r="B105" s="48">
        <f t="shared" si="30"/>
        <v>5</v>
      </c>
      <c r="C105" s="51">
        <v>2</v>
      </c>
      <c r="D105" s="435" t="s">
        <v>143</v>
      </c>
      <c r="E105" s="436"/>
      <c r="F105" s="436"/>
      <c r="G105" s="436"/>
      <c r="H105" s="436"/>
      <c r="I105" s="52">
        <f>I116+I109+I106</f>
        <v>116470</v>
      </c>
      <c r="J105" s="52">
        <f>J116+J109+J106</f>
        <v>700</v>
      </c>
      <c r="K105" s="52">
        <f t="shared" si="31"/>
        <v>117170</v>
      </c>
      <c r="L105" s="53"/>
      <c r="M105" s="52">
        <f>M116+M109+M106</f>
        <v>793391</v>
      </c>
      <c r="N105" s="52">
        <f>N116+N109+N106</f>
        <v>0</v>
      </c>
      <c r="O105" s="52">
        <f t="shared" si="32"/>
        <v>793391</v>
      </c>
      <c r="P105" s="54"/>
      <c r="Q105" s="72">
        <f t="shared" si="27"/>
        <v>909861</v>
      </c>
      <c r="R105" s="72">
        <f t="shared" si="28"/>
        <v>700</v>
      </c>
      <c r="S105" s="72">
        <f t="shared" si="29"/>
        <v>910561</v>
      </c>
    </row>
    <row r="106" spans="2:19" ht="15" x14ac:dyDescent="0.25">
      <c r="B106" s="48">
        <f t="shared" si="30"/>
        <v>6</v>
      </c>
      <c r="C106" s="69"/>
      <c r="D106" s="69">
        <v>1</v>
      </c>
      <c r="E106" s="433" t="s">
        <v>149</v>
      </c>
      <c r="F106" s="434"/>
      <c r="G106" s="434"/>
      <c r="H106" s="434"/>
      <c r="I106" s="70">
        <f>I107</f>
        <v>13060</v>
      </c>
      <c r="J106" s="70">
        <f>J107</f>
        <v>700</v>
      </c>
      <c r="K106" s="70">
        <f t="shared" si="31"/>
        <v>13760</v>
      </c>
      <c r="L106" s="58"/>
      <c r="M106" s="70">
        <v>0</v>
      </c>
      <c r="N106" s="70"/>
      <c r="O106" s="70">
        <f t="shared" si="32"/>
        <v>0</v>
      </c>
      <c r="P106" s="59"/>
      <c r="Q106" s="71">
        <f t="shared" si="27"/>
        <v>13060</v>
      </c>
      <c r="R106" s="71">
        <f t="shared" si="28"/>
        <v>700</v>
      </c>
      <c r="S106" s="71">
        <f t="shared" si="29"/>
        <v>13760</v>
      </c>
    </row>
    <row r="107" spans="2:19" x14ac:dyDescent="0.2">
      <c r="B107" s="48">
        <f t="shared" si="30"/>
        <v>7</v>
      </c>
      <c r="C107" s="9"/>
      <c r="D107" s="9"/>
      <c r="E107" s="9"/>
      <c r="F107" s="61" t="s">
        <v>74</v>
      </c>
      <c r="G107" s="8">
        <v>630</v>
      </c>
      <c r="H107" s="9" t="s">
        <v>122</v>
      </c>
      <c r="I107" s="62">
        <f>I108</f>
        <v>13060</v>
      </c>
      <c r="J107" s="62">
        <f>J108</f>
        <v>700</v>
      </c>
      <c r="K107" s="62">
        <f t="shared" si="31"/>
        <v>13760</v>
      </c>
      <c r="L107" s="62"/>
      <c r="M107" s="62"/>
      <c r="N107" s="62"/>
      <c r="O107" s="62">
        <f t="shared" si="32"/>
        <v>0</v>
      </c>
      <c r="P107" s="63"/>
      <c r="Q107" s="64">
        <f t="shared" si="27"/>
        <v>13060</v>
      </c>
      <c r="R107" s="64">
        <f t="shared" si="28"/>
        <v>700</v>
      </c>
      <c r="S107" s="64">
        <f t="shared" si="29"/>
        <v>13760</v>
      </c>
    </row>
    <row r="108" spans="2:19" x14ac:dyDescent="0.2">
      <c r="B108" s="48">
        <f t="shared" si="30"/>
        <v>8</v>
      </c>
      <c r="C108" s="11"/>
      <c r="D108" s="11"/>
      <c r="E108" s="11"/>
      <c r="F108" s="65"/>
      <c r="G108" s="10">
        <v>637</v>
      </c>
      <c r="H108" s="11" t="s">
        <v>123</v>
      </c>
      <c r="I108" s="66">
        <v>13060</v>
      </c>
      <c r="J108" s="66">
        <v>700</v>
      </c>
      <c r="K108" s="66">
        <f t="shared" si="31"/>
        <v>13760</v>
      </c>
      <c r="L108" s="66"/>
      <c r="M108" s="66"/>
      <c r="N108" s="66"/>
      <c r="O108" s="66">
        <f t="shared" si="32"/>
        <v>0</v>
      </c>
      <c r="P108" s="67"/>
      <c r="Q108" s="68">
        <f t="shared" si="27"/>
        <v>13060</v>
      </c>
      <c r="R108" s="68">
        <f t="shared" si="28"/>
        <v>700</v>
      </c>
      <c r="S108" s="68">
        <f t="shared" si="29"/>
        <v>13760</v>
      </c>
    </row>
    <row r="109" spans="2:19" ht="15" x14ac:dyDescent="0.25">
      <c r="B109" s="48">
        <f t="shared" si="30"/>
        <v>9</v>
      </c>
      <c r="C109" s="69"/>
      <c r="D109" s="69">
        <v>2</v>
      </c>
      <c r="E109" s="433" t="s">
        <v>142</v>
      </c>
      <c r="F109" s="434"/>
      <c r="G109" s="434"/>
      <c r="H109" s="434"/>
      <c r="I109" s="70">
        <f>I110</f>
        <v>29410</v>
      </c>
      <c r="J109" s="70">
        <f>J110</f>
        <v>0</v>
      </c>
      <c r="K109" s="70">
        <f t="shared" si="31"/>
        <v>29410</v>
      </c>
      <c r="L109" s="58"/>
      <c r="M109" s="70">
        <f>M113</f>
        <v>150100</v>
      </c>
      <c r="N109" s="70">
        <f>N113</f>
        <v>0</v>
      </c>
      <c r="O109" s="70">
        <f t="shared" si="32"/>
        <v>150100</v>
      </c>
      <c r="P109" s="59"/>
      <c r="Q109" s="71">
        <f t="shared" si="27"/>
        <v>179510</v>
      </c>
      <c r="R109" s="71">
        <f t="shared" si="28"/>
        <v>0</v>
      </c>
      <c r="S109" s="71">
        <f t="shared" si="29"/>
        <v>179510</v>
      </c>
    </row>
    <row r="110" spans="2:19" x14ac:dyDescent="0.2">
      <c r="B110" s="48">
        <f t="shared" si="30"/>
        <v>10</v>
      </c>
      <c r="C110" s="9"/>
      <c r="D110" s="9"/>
      <c r="E110" s="9"/>
      <c r="F110" s="61" t="s">
        <v>74</v>
      </c>
      <c r="G110" s="8">
        <v>630</v>
      </c>
      <c r="H110" s="9" t="s">
        <v>122</v>
      </c>
      <c r="I110" s="62">
        <f>I112+I111</f>
        <v>29410</v>
      </c>
      <c r="J110" s="62">
        <f>J112+J111</f>
        <v>0</v>
      </c>
      <c r="K110" s="62">
        <f t="shared" si="31"/>
        <v>29410</v>
      </c>
      <c r="L110" s="62"/>
      <c r="M110" s="62"/>
      <c r="N110" s="62"/>
      <c r="O110" s="62">
        <f t="shared" si="32"/>
        <v>0</v>
      </c>
      <c r="P110" s="63"/>
      <c r="Q110" s="64">
        <f t="shared" si="27"/>
        <v>29410</v>
      </c>
      <c r="R110" s="64">
        <f t="shared" si="28"/>
        <v>0</v>
      </c>
      <c r="S110" s="64">
        <f t="shared" si="29"/>
        <v>29410</v>
      </c>
    </row>
    <row r="111" spans="2:19" x14ac:dyDescent="0.2">
      <c r="B111" s="48">
        <f t="shared" si="30"/>
        <v>11</v>
      </c>
      <c r="C111" s="11"/>
      <c r="D111" s="11"/>
      <c r="E111" s="11"/>
      <c r="F111" s="65"/>
      <c r="G111" s="10">
        <v>636</v>
      </c>
      <c r="H111" s="11" t="s">
        <v>127</v>
      </c>
      <c r="I111" s="66">
        <v>9410</v>
      </c>
      <c r="J111" s="66"/>
      <c r="K111" s="66">
        <f t="shared" si="31"/>
        <v>9410</v>
      </c>
      <c r="L111" s="66"/>
      <c r="M111" s="66"/>
      <c r="N111" s="66"/>
      <c r="O111" s="66">
        <f t="shared" si="32"/>
        <v>0</v>
      </c>
      <c r="P111" s="67"/>
      <c r="Q111" s="68">
        <f t="shared" si="27"/>
        <v>9410</v>
      </c>
      <c r="R111" s="68">
        <f t="shared" si="28"/>
        <v>0</v>
      </c>
      <c r="S111" s="68">
        <f t="shared" si="29"/>
        <v>9410</v>
      </c>
    </row>
    <row r="112" spans="2:19" x14ac:dyDescent="0.2">
      <c r="B112" s="48">
        <f t="shared" si="30"/>
        <v>12</v>
      </c>
      <c r="C112" s="11"/>
      <c r="D112" s="11"/>
      <c r="E112" s="11"/>
      <c r="F112" s="65"/>
      <c r="G112" s="10">
        <v>637</v>
      </c>
      <c r="H112" s="11" t="s">
        <v>123</v>
      </c>
      <c r="I112" s="66">
        <v>20000</v>
      </c>
      <c r="J112" s="66"/>
      <c r="K112" s="66">
        <f t="shared" si="31"/>
        <v>20000</v>
      </c>
      <c r="L112" s="66"/>
      <c r="M112" s="66"/>
      <c r="N112" s="66"/>
      <c r="O112" s="66">
        <f t="shared" si="32"/>
        <v>0</v>
      </c>
      <c r="P112" s="67"/>
      <c r="Q112" s="68">
        <f t="shared" si="27"/>
        <v>20000</v>
      </c>
      <c r="R112" s="68">
        <f t="shared" si="28"/>
        <v>0</v>
      </c>
      <c r="S112" s="68">
        <f t="shared" si="29"/>
        <v>20000</v>
      </c>
    </row>
    <row r="113" spans="2:19" ht="13.5" customHeight="1" x14ac:dyDescent="0.2">
      <c r="B113" s="48">
        <f t="shared" si="30"/>
        <v>13</v>
      </c>
      <c r="C113" s="9"/>
      <c r="D113" s="9"/>
      <c r="E113" s="9"/>
      <c r="F113" s="61" t="s">
        <v>74</v>
      </c>
      <c r="G113" s="8">
        <v>710</v>
      </c>
      <c r="H113" s="9" t="s">
        <v>176</v>
      </c>
      <c r="I113" s="62"/>
      <c r="J113" s="62"/>
      <c r="K113" s="62">
        <f t="shared" si="31"/>
        <v>0</v>
      </c>
      <c r="L113" s="62"/>
      <c r="M113" s="62">
        <f>M114</f>
        <v>150100</v>
      </c>
      <c r="N113" s="62">
        <f>N114</f>
        <v>0</v>
      </c>
      <c r="O113" s="62">
        <f t="shared" si="32"/>
        <v>150100</v>
      </c>
      <c r="P113" s="63"/>
      <c r="Q113" s="64">
        <f t="shared" si="27"/>
        <v>150100</v>
      </c>
      <c r="R113" s="64">
        <f t="shared" si="28"/>
        <v>0</v>
      </c>
      <c r="S113" s="64">
        <f t="shared" si="29"/>
        <v>150100</v>
      </c>
    </row>
    <row r="114" spans="2:19" ht="12.75" customHeight="1" x14ac:dyDescent="0.2">
      <c r="B114" s="48">
        <f t="shared" si="30"/>
        <v>14</v>
      </c>
      <c r="C114" s="11"/>
      <c r="D114" s="11"/>
      <c r="E114" s="11"/>
      <c r="F114" s="65"/>
      <c r="G114" s="10">
        <v>712</v>
      </c>
      <c r="H114" s="11" t="s">
        <v>58</v>
      </c>
      <c r="I114" s="66"/>
      <c r="J114" s="66"/>
      <c r="K114" s="66">
        <f t="shared" si="31"/>
        <v>0</v>
      </c>
      <c r="L114" s="66"/>
      <c r="M114" s="66">
        <f>M115</f>
        <v>150100</v>
      </c>
      <c r="N114" s="66">
        <f>N115</f>
        <v>0</v>
      </c>
      <c r="O114" s="66">
        <f t="shared" si="32"/>
        <v>150100</v>
      </c>
      <c r="P114" s="67"/>
      <c r="Q114" s="68">
        <f t="shared" si="27"/>
        <v>150100</v>
      </c>
      <c r="R114" s="68">
        <f t="shared" si="28"/>
        <v>0</v>
      </c>
      <c r="S114" s="68">
        <f t="shared" si="29"/>
        <v>150100</v>
      </c>
    </row>
    <row r="115" spans="2:19" x14ac:dyDescent="0.2">
      <c r="B115" s="48">
        <f t="shared" si="30"/>
        <v>15</v>
      </c>
      <c r="C115" s="81"/>
      <c r="D115" s="81"/>
      <c r="E115" s="13"/>
      <c r="F115" s="82"/>
      <c r="G115" s="82"/>
      <c r="H115" s="13" t="s">
        <v>337</v>
      </c>
      <c r="I115" s="83"/>
      <c r="J115" s="83"/>
      <c r="K115" s="83">
        <f t="shared" si="31"/>
        <v>0</v>
      </c>
      <c r="L115" s="83"/>
      <c r="M115" s="83">
        <v>150100</v>
      </c>
      <c r="N115" s="83"/>
      <c r="O115" s="83">
        <f t="shared" si="32"/>
        <v>150100</v>
      </c>
      <c r="P115" s="84"/>
      <c r="Q115" s="85">
        <f t="shared" si="27"/>
        <v>150100</v>
      </c>
      <c r="R115" s="85">
        <f t="shared" si="28"/>
        <v>0</v>
      </c>
      <c r="S115" s="85">
        <f t="shared" si="29"/>
        <v>150100</v>
      </c>
    </row>
    <row r="116" spans="2:19" ht="21" customHeight="1" x14ac:dyDescent="0.25">
      <c r="B116" s="48">
        <f t="shared" si="30"/>
        <v>16</v>
      </c>
      <c r="C116" s="69"/>
      <c r="D116" s="69">
        <v>3</v>
      </c>
      <c r="E116" s="433" t="s">
        <v>208</v>
      </c>
      <c r="F116" s="469"/>
      <c r="G116" s="469"/>
      <c r="H116" s="469"/>
      <c r="I116" s="70">
        <f>I117</f>
        <v>74000</v>
      </c>
      <c r="J116" s="70">
        <f>J117</f>
        <v>0</v>
      </c>
      <c r="K116" s="70">
        <f t="shared" si="31"/>
        <v>74000</v>
      </c>
      <c r="L116" s="58"/>
      <c r="M116" s="70">
        <f>M120</f>
        <v>643291</v>
      </c>
      <c r="N116" s="70">
        <f>N120</f>
        <v>0</v>
      </c>
      <c r="O116" s="70">
        <f t="shared" si="32"/>
        <v>643291</v>
      </c>
      <c r="P116" s="59"/>
      <c r="Q116" s="71">
        <f t="shared" si="27"/>
        <v>717291</v>
      </c>
      <c r="R116" s="71">
        <f t="shared" si="28"/>
        <v>0</v>
      </c>
      <c r="S116" s="71">
        <f t="shared" si="29"/>
        <v>717291</v>
      </c>
    </row>
    <row r="117" spans="2:19" x14ac:dyDescent="0.2">
      <c r="B117" s="48">
        <f t="shared" si="30"/>
        <v>17</v>
      </c>
      <c r="C117" s="9"/>
      <c r="D117" s="9"/>
      <c r="E117" s="9"/>
      <c r="F117" s="61" t="s">
        <v>74</v>
      </c>
      <c r="G117" s="8">
        <v>630</v>
      </c>
      <c r="H117" s="9" t="s">
        <v>122</v>
      </c>
      <c r="I117" s="62">
        <f>I119+I118</f>
        <v>74000</v>
      </c>
      <c r="J117" s="62">
        <f>J119+J118</f>
        <v>0</v>
      </c>
      <c r="K117" s="62">
        <f t="shared" si="31"/>
        <v>74000</v>
      </c>
      <c r="L117" s="62"/>
      <c r="M117" s="62"/>
      <c r="N117" s="62"/>
      <c r="O117" s="62">
        <f t="shared" si="32"/>
        <v>0</v>
      </c>
      <c r="P117" s="63"/>
      <c r="Q117" s="64">
        <f t="shared" si="27"/>
        <v>74000</v>
      </c>
      <c r="R117" s="64">
        <f t="shared" si="28"/>
        <v>0</v>
      </c>
      <c r="S117" s="64">
        <f t="shared" si="29"/>
        <v>74000</v>
      </c>
    </row>
    <row r="118" spans="2:19" x14ac:dyDescent="0.2">
      <c r="B118" s="48">
        <f t="shared" si="30"/>
        <v>18</v>
      </c>
      <c r="C118" s="11"/>
      <c r="D118" s="11"/>
      <c r="E118" s="11"/>
      <c r="F118" s="65"/>
      <c r="G118" s="10">
        <v>636</v>
      </c>
      <c r="H118" s="11" t="s">
        <v>127</v>
      </c>
      <c r="I118" s="66">
        <f>54700+800</f>
        <v>55500</v>
      </c>
      <c r="J118" s="66"/>
      <c r="K118" s="66">
        <f t="shared" si="31"/>
        <v>55500</v>
      </c>
      <c r="L118" s="66"/>
      <c r="M118" s="66"/>
      <c r="N118" s="66"/>
      <c r="O118" s="66">
        <f t="shared" si="32"/>
        <v>0</v>
      </c>
      <c r="P118" s="67"/>
      <c r="Q118" s="68">
        <f t="shared" si="27"/>
        <v>55500</v>
      </c>
      <c r="R118" s="68">
        <f t="shared" si="28"/>
        <v>0</v>
      </c>
      <c r="S118" s="68">
        <f t="shared" si="29"/>
        <v>55500</v>
      </c>
    </row>
    <row r="119" spans="2:19" x14ac:dyDescent="0.2">
      <c r="B119" s="48">
        <f t="shared" si="30"/>
        <v>19</v>
      </c>
      <c r="C119" s="11"/>
      <c r="D119" s="11"/>
      <c r="E119" s="11"/>
      <c r="F119" s="65"/>
      <c r="G119" s="10">
        <v>637</v>
      </c>
      <c r="H119" s="11" t="s">
        <v>123</v>
      </c>
      <c r="I119" s="66">
        <v>18500</v>
      </c>
      <c r="J119" s="66"/>
      <c r="K119" s="66">
        <f t="shared" si="31"/>
        <v>18500</v>
      </c>
      <c r="L119" s="66"/>
      <c r="M119" s="66"/>
      <c r="N119" s="66"/>
      <c r="O119" s="66">
        <f t="shared" si="32"/>
        <v>0</v>
      </c>
      <c r="P119" s="67"/>
      <c r="Q119" s="68">
        <f t="shared" si="27"/>
        <v>18500</v>
      </c>
      <c r="R119" s="68">
        <f t="shared" si="28"/>
        <v>0</v>
      </c>
      <c r="S119" s="68">
        <f t="shared" si="29"/>
        <v>18500</v>
      </c>
    </row>
    <row r="120" spans="2:19" x14ac:dyDescent="0.2">
      <c r="B120" s="48">
        <f t="shared" si="30"/>
        <v>20</v>
      </c>
      <c r="C120" s="9"/>
      <c r="D120" s="9"/>
      <c r="E120" s="9"/>
      <c r="F120" s="61" t="s">
        <v>74</v>
      </c>
      <c r="G120" s="8">
        <v>710</v>
      </c>
      <c r="H120" s="9" t="s">
        <v>176</v>
      </c>
      <c r="I120" s="62"/>
      <c r="J120" s="62"/>
      <c r="K120" s="62">
        <f t="shared" si="31"/>
        <v>0</v>
      </c>
      <c r="L120" s="62"/>
      <c r="M120" s="62">
        <f>M121</f>
        <v>643291</v>
      </c>
      <c r="N120" s="62">
        <f>N121</f>
        <v>0</v>
      </c>
      <c r="O120" s="62">
        <f t="shared" si="32"/>
        <v>643291</v>
      </c>
      <c r="P120" s="63"/>
      <c r="Q120" s="64">
        <f t="shared" si="27"/>
        <v>643291</v>
      </c>
      <c r="R120" s="64">
        <f t="shared" si="28"/>
        <v>0</v>
      </c>
      <c r="S120" s="64">
        <f t="shared" si="29"/>
        <v>643291</v>
      </c>
    </row>
    <row r="121" spans="2:19" x14ac:dyDescent="0.2">
      <c r="B121" s="48">
        <f t="shared" si="30"/>
        <v>21</v>
      </c>
      <c r="C121" s="11"/>
      <c r="D121" s="11"/>
      <c r="E121" s="11"/>
      <c r="F121" s="65"/>
      <c r="G121" s="10">
        <v>711</v>
      </c>
      <c r="H121" s="11" t="s">
        <v>210</v>
      </c>
      <c r="I121" s="66"/>
      <c r="J121" s="66"/>
      <c r="K121" s="66">
        <f t="shared" si="31"/>
        <v>0</v>
      </c>
      <c r="L121" s="66"/>
      <c r="M121" s="66">
        <f>M122+M123</f>
        <v>643291</v>
      </c>
      <c r="N121" s="66">
        <f>N122+N123</f>
        <v>0</v>
      </c>
      <c r="O121" s="66">
        <f t="shared" si="32"/>
        <v>643291</v>
      </c>
      <c r="P121" s="67"/>
      <c r="Q121" s="68">
        <f t="shared" si="27"/>
        <v>643291</v>
      </c>
      <c r="R121" s="68">
        <f t="shared" si="28"/>
        <v>0</v>
      </c>
      <c r="S121" s="68">
        <f t="shared" si="29"/>
        <v>643291</v>
      </c>
    </row>
    <row r="122" spans="2:19" x14ac:dyDescent="0.2">
      <c r="B122" s="48">
        <f t="shared" si="30"/>
        <v>22</v>
      </c>
      <c r="C122" s="81"/>
      <c r="D122" s="81"/>
      <c r="E122" s="13"/>
      <c r="F122" s="82"/>
      <c r="G122" s="82"/>
      <c r="H122" s="13" t="s">
        <v>338</v>
      </c>
      <c r="I122" s="83"/>
      <c r="J122" s="83"/>
      <c r="K122" s="83">
        <f t="shared" si="31"/>
        <v>0</v>
      </c>
      <c r="L122" s="83"/>
      <c r="M122" s="83">
        <v>623291</v>
      </c>
      <c r="N122" s="83"/>
      <c r="O122" s="83">
        <f t="shared" si="32"/>
        <v>623291</v>
      </c>
      <c r="P122" s="84"/>
      <c r="Q122" s="85">
        <f t="shared" si="27"/>
        <v>623291</v>
      </c>
      <c r="R122" s="85">
        <f t="shared" si="28"/>
        <v>0</v>
      </c>
      <c r="S122" s="85">
        <f t="shared" si="29"/>
        <v>623291</v>
      </c>
    </row>
    <row r="123" spans="2:19" x14ac:dyDescent="0.2">
      <c r="B123" s="48">
        <f t="shared" si="30"/>
        <v>23</v>
      </c>
      <c r="C123" s="81"/>
      <c r="D123" s="81"/>
      <c r="E123" s="13"/>
      <c r="F123" s="82"/>
      <c r="G123" s="82"/>
      <c r="H123" s="13" t="s">
        <v>546</v>
      </c>
      <c r="I123" s="83"/>
      <c r="J123" s="83"/>
      <c r="K123" s="83">
        <f t="shared" si="31"/>
        <v>0</v>
      </c>
      <c r="L123" s="83"/>
      <c r="M123" s="83">
        <v>20000</v>
      </c>
      <c r="N123" s="83"/>
      <c r="O123" s="83">
        <f t="shared" si="32"/>
        <v>20000</v>
      </c>
      <c r="P123" s="84"/>
      <c r="Q123" s="85">
        <f t="shared" si="27"/>
        <v>20000</v>
      </c>
      <c r="R123" s="85">
        <f t="shared" si="28"/>
        <v>0</v>
      </c>
      <c r="S123" s="85">
        <f t="shared" si="29"/>
        <v>20000</v>
      </c>
    </row>
    <row r="124" spans="2:19" ht="15" x14ac:dyDescent="0.2">
      <c r="B124" s="48">
        <f t="shared" si="30"/>
        <v>24</v>
      </c>
      <c r="C124" s="51">
        <v>3</v>
      </c>
      <c r="D124" s="435" t="s">
        <v>150</v>
      </c>
      <c r="E124" s="436"/>
      <c r="F124" s="436"/>
      <c r="G124" s="436"/>
      <c r="H124" s="436"/>
      <c r="I124" s="52">
        <f>I125</f>
        <v>8000</v>
      </c>
      <c r="J124" s="52">
        <f>J125</f>
        <v>0</v>
      </c>
      <c r="K124" s="52">
        <f t="shared" si="31"/>
        <v>8000</v>
      </c>
      <c r="L124" s="53"/>
      <c r="M124" s="52"/>
      <c r="N124" s="52"/>
      <c r="O124" s="52">
        <f t="shared" si="32"/>
        <v>0</v>
      </c>
      <c r="P124" s="54"/>
      <c r="Q124" s="72">
        <f t="shared" si="27"/>
        <v>8000</v>
      </c>
      <c r="R124" s="72">
        <f t="shared" si="28"/>
        <v>0</v>
      </c>
      <c r="S124" s="72">
        <f t="shared" si="29"/>
        <v>8000</v>
      </c>
    </row>
    <row r="125" spans="2:19" x14ac:dyDescent="0.2">
      <c r="B125" s="48">
        <f t="shared" si="30"/>
        <v>25</v>
      </c>
      <c r="C125" s="9"/>
      <c r="D125" s="9"/>
      <c r="E125" s="9"/>
      <c r="F125" s="61"/>
      <c r="G125" s="8">
        <v>630</v>
      </c>
      <c r="H125" s="9" t="s">
        <v>122</v>
      </c>
      <c r="I125" s="62">
        <f>I127+I126</f>
        <v>8000</v>
      </c>
      <c r="J125" s="62">
        <f>J127+J126</f>
        <v>0</v>
      </c>
      <c r="K125" s="62">
        <f t="shared" si="31"/>
        <v>8000</v>
      </c>
      <c r="L125" s="62"/>
      <c r="M125" s="62"/>
      <c r="N125" s="62"/>
      <c r="O125" s="62">
        <f t="shared" si="32"/>
        <v>0</v>
      </c>
      <c r="P125" s="63"/>
      <c r="Q125" s="64">
        <f t="shared" si="27"/>
        <v>8000</v>
      </c>
      <c r="R125" s="64">
        <f t="shared" si="28"/>
        <v>0</v>
      </c>
      <c r="S125" s="64">
        <f t="shared" si="29"/>
        <v>8000</v>
      </c>
    </row>
    <row r="126" spans="2:19" x14ac:dyDescent="0.2">
      <c r="B126" s="48">
        <f t="shared" si="30"/>
        <v>26</v>
      </c>
      <c r="C126" s="11"/>
      <c r="D126" s="11"/>
      <c r="E126" s="11"/>
      <c r="F126" s="61" t="s">
        <v>74</v>
      </c>
      <c r="G126" s="10">
        <v>633</v>
      </c>
      <c r="H126" s="11" t="s">
        <v>126</v>
      </c>
      <c r="I126" s="66">
        <v>1000</v>
      </c>
      <c r="J126" s="66"/>
      <c r="K126" s="66">
        <f t="shared" si="31"/>
        <v>1000</v>
      </c>
      <c r="L126" s="66"/>
      <c r="M126" s="66"/>
      <c r="N126" s="66"/>
      <c r="O126" s="66">
        <f t="shared" si="32"/>
        <v>0</v>
      </c>
      <c r="P126" s="67"/>
      <c r="Q126" s="68">
        <f t="shared" si="27"/>
        <v>1000</v>
      </c>
      <c r="R126" s="68">
        <f t="shared" si="28"/>
        <v>0</v>
      </c>
      <c r="S126" s="68">
        <f t="shared" si="29"/>
        <v>1000</v>
      </c>
    </row>
    <row r="127" spans="2:19" x14ac:dyDescent="0.2">
      <c r="B127" s="48">
        <f t="shared" si="30"/>
        <v>27</v>
      </c>
      <c r="C127" s="11"/>
      <c r="D127" s="11"/>
      <c r="E127" s="11"/>
      <c r="F127" s="61" t="s">
        <v>421</v>
      </c>
      <c r="G127" s="10">
        <v>637</v>
      </c>
      <c r="H127" s="11" t="s">
        <v>123</v>
      </c>
      <c r="I127" s="66">
        <v>7000</v>
      </c>
      <c r="J127" s="66"/>
      <c r="K127" s="66">
        <f t="shared" si="31"/>
        <v>7000</v>
      </c>
      <c r="L127" s="66"/>
      <c r="M127" s="66"/>
      <c r="N127" s="66"/>
      <c r="O127" s="66">
        <f t="shared" si="32"/>
        <v>0</v>
      </c>
      <c r="P127" s="67"/>
      <c r="Q127" s="68">
        <f t="shared" si="27"/>
        <v>7000</v>
      </c>
      <c r="R127" s="68">
        <f t="shared" si="28"/>
        <v>0</v>
      </c>
      <c r="S127" s="68">
        <f t="shared" si="29"/>
        <v>7000</v>
      </c>
    </row>
    <row r="128" spans="2:19" ht="15" x14ac:dyDescent="0.2">
      <c r="B128" s="48">
        <f t="shared" si="30"/>
        <v>28</v>
      </c>
      <c r="C128" s="51">
        <v>4</v>
      </c>
      <c r="D128" s="435" t="s">
        <v>192</v>
      </c>
      <c r="E128" s="436"/>
      <c r="F128" s="436"/>
      <c r="G128" s="436"/>
      <c r="H128" s="436"/>
      <c r="I128" s="52">
        <f>I129</f>
        <v>269000</v>
      </c>
      <c r="J128" s="52">
        <f>J129</f>
        <v>10000</v>
      </c>
      <c r="K128" s="52">
        <f t="shared" si="31"/>
        <v>279000</v>
      </c>
      <c r="L128" s="53"/>
      <c r="M128" s="52">
        <f>M134</f>
        <v>2391190</v>
      </c>
      <c r="N128" s="52">
        <f>N134</f>
        <v>519000</v>
      </c>
      <c r="O128" s="52">
        <f t="shared" si="32"/>
        <v>2910190</v>
      </c>
      <c r="P128" s="54"/>
      <c r="Q128" s="72">
        <f t="shared" si="27"/>
        <v>2660190</v>
      </c>
      <c r="R128" s="72">
        <f t="shared" si="28"/>
        <v>529000</v>
      </c>
      <c r="S128" s="72">
        <f t="shared" si="29"/>
        <v>3189190</v>
      </c>
    </row>
    <row r="129" spans="2:19" x14ac:dyDescent="0.2">
      <c r="B129" s="48">
        <f t="shared" si="30"/>
        <v>29</v>
      </c>
      <c r="C129" s="9"/>
      <c r="D129" s="9"/>
      <c r="E129" s="9"/>
      <c r="F129" s="61" t="s">
        <v>154</v>
      </c>
      <c r="G129" s="8">
        <v>630</v>
      </c>
      <c r="H129" s="9" t="s">
        <v>122</v>
      </c>
      <c r="I129" s="62">
        <f>SUM(I130:I133)</f>
        <v>269000</v>
      </c>
      <c r="J129" s="62">
        <f>SUM(J130:J133)</f>
        <v>10000</v>
      </c>
      <c r="K129" s="62">
        <f t="shared" si="31"/>
        <v>279000</v>
      </c>
      <c r="L129" s="62"/>
      <c r="M129" s="62"/>
      <c r="N129" s="62"/>
      <c r="O129" s="62">
        <f t="shared" si="32"/>
        <v>0</v>
      </c>
      <c r="P129" s="63"/>
      <c r="Q129" s="64">
        <f t="shared" si="27"/>
        <v>269000</v>
      </c>
      <c r="R129" s="64">
        <f t="shared" si="28"/>
        <v>10000</v>
      </c>
      <c r="S129" s="64">
        <f t="shared" si="29"/>
        <v>279000</v>
      </c>
    </row>
    <row r="130" spans="2:19" x14ac:dyDescent="0.2">
      <c r="B130" s="48">
        <f t="shared" si="30"/>
        <v>30</v>
      </c>
      <c r="C130" s="11"/>
      <c r="D130" s="11"/>
      <c r="E130" s="11"/>
      <c r="F130" s="65"/>
      <c r="G130" s="10">
        <v>632</v>
      </c>
      <c r="H130" s="11" t="s">
        <v>135</v>
      </c>
      <c r="I130" s="66">
        <v>98000</v>
      </c>
      <c r="J130" s="66"/>
      <c r="K130" s="66">
        <f t="shared" si="31"/>
        <v>98000</v>
      </c>
      <c r="L130" s="66"/>
      <c r="M130" s="66"/>
      <c r="N130" s="66"/>
      <c r="O130" s="66">
        <f t="shared" si="32"/>
        <v>0</v>
      </c>
      <c r="P130" s="67"/>
      <c r="Q130" s="68">
        <f t="shared" si="27"/>
        <v>98000</v>
      </c>
      <c r="R130" s="68">
        <f t="shared" si="28"/>
        <v>0</v>
      </c>
      <c r="S130" s="68">
        <f t="shared" si="29"/>
        <v>98000</v>
      </c>
    </row>
    <row r="131" spans="2:19" x14ac:dyDescent="0.2">
      <c r="B131" s="48">
        <f t="shared" si="30"/>
        <v>31</v>
      </c>
      <c r="C131" s="11"/>
      <c r="D131" s="11"/>
      <c r="E131" s="11"/>
      <c r="F131" s="65"/>
      <c r="G131" s="10">
        <v>633</v>
      </c>
      <c r="H131" s="11" t="s">
        <v>126</v>
      </c>
      <c r="I131" s="66">
        <v>13000</v>
      </c>
      <c r="J131" s="66"/>
      <c r="K131" s="66">
        <f t="shared" si="31"/>
        <v>13000</v>
      </c>
      <c r="L131" s="66"/>
      <c r="M131" s="66"/>
      <c r="N131" s="66"/>
      <c r="O131" s="66">
        <f t="shared" si="32"/>
        <v>0</v>
      </c>
      <c r="P131" s="67"/>
      <c r="Q131" s="68">
        <f t="shared" si="27"/>
        <v>13000</v>
      </c>
      <c r="R131" s="68">
        <f t="shared" si="28"/>
        <v>0</v>
      </c>
      <c r="S131" s="68">
        <f t="shared" si="29"/>
        <v>13000</v>
      </c>
    </row>
    <row r="132" spans="2:19" x14ac:dyDescent="0.2">
      <c r="B132" s="48">
        <f t="shared" si="30"/>
        <v>32</v>
      </c>
      <c r="C132" s="11"/>
      <c r="D132" s="11"/>
      <c r="E132" s="11"/>
      <c r="F132" s="65"/>
      <c r="G132" s="10">
        <v>635</v>
      </c>
      <c r="H132" s="11" t="s">
        <v>134</v>
      </c>
      <c r="I132" s="66">
        <v>95000</v>
      </c>
      <c r="J132" s="66">
        <v>10000</v>
      </c>
      <c r="K132" s="66">
        <f t="shared" si="31"/>
        <v>105000</v>
      </c>
      <c r="L132" s="66"/>
      <c r="M132" s="66"/>
      <c r="N132" s="66"/>
      <c r="O132" s="66">
        <f t="shared" si="32"/>
        <v>0</v>
      </c>
      <c r="P132" s="67"/>
      <c r="Q132" s="68">
        <f t="shared" si="27"/>
        <v>95000</v>
      </c>
      <c r="R132" s="68">
        <f t="shared" si="28"/>
        <v>10000</v>
      </c>
      <c r="S132" s="68">
        <f t="shared" si="29"/>
        <v>105000</v>
      </c>
    </row>
    <row r="133" spans="2:19" x14ac:dyDescent="0.2">
      <c r="B133" s="48">
        <f t="shared" si="30"/>
        <v>33</v>
      </c>
      <c r="C133" s="11"/>
      <c r="D133" s="11"/>
      <c r="E133" s="11"/>
      <c r="F133" s="65"/>
      <c r="G133" s="10">
        <v>637</v>
      </c>
      <c r="H133" s="11" t="s">
        <v>123</v>
      </c>
      <c r="I133" s="66">
        <v>63000</v>
      </c>
      <c r="J133" s="66"/>
      <c r="K133" s="66">
        <f t="shared" si="31"/>
        <v>63000</v>
      </c>
      <c r="L133" s="66"/>
      <c r="M133" s="66"/>
      <c r="N133" s="66"/>
      <c r="O133" s="66">
        <f t="shared" si="32"/>
        <v>0</v>
      </c>
      <c r="P133" s="67"/>
      <c r="Q133" s="68">
        <f t="shared" ref="Q133:Q164" si="33">I133+M133</f>
        <v>63000</v>
      </c>
      <c r="R133" s="68">
        <f t="shared" ref="R133:R164" si="34">J133+N133</f>
        <v>0</v>
      </c>
      <c r="S133" s="68">
        <f t="shared" ref="S133:S164" si="35">K133+O133</f>
        <v>63000</v>
      </c>
    </row>
    <row r="134" spans="2:19" x14ac:dyDescent="0.2">
      <c r="B134" s="48">
        <f t="shared" ref="B134:B170" si="36">B133+1</f>
        <v>34</v>
      </c>
      <c r="C134" s="9"/>
      <c r="D134" s="9"/>
      <c r="E134" s="9"/>
      <c r="F134" s="61" t="s">
        <v>193</v>
      </c>
      <c r="G134" s="8">
        <v>710</v>
      </c>
      <c r="H134" s="9" t="s">
        <v>176</v>
      </c>
      <c r="I134" s="83"/>
      <c r="J134" s="83"/>
      <c r="K134" s="83">
        <f t="shared" si="31"/>
        <v>0</v>
      </c>
      <c r="L134" s="62"/>
      <c r="M134" s="62">
        <f>M139+M135</f>
        <v>2391190</v>
      </c>
      <c r="N134" s="62">
        <f>N139+N135</f>
        <v>519000</v>
      </c>
      <c r="O134" s="62">
        <f t="shared" si="32"/>
        <v>2910190</v>
      </c>
      <c r="P134" s="63"/>
      <c r="Q134" s="64">
        <f t="shared" si="33"/>
        <v>2391190</v>
      </c>
      <c r="R134" s="64">
        <f t="shared" si="34"/>
        <v>519000</v>
      </c>
      <c r="S134" s="64">
        <f t="shared" si="35"/>
        <v>2910190</v>
      </c>
    </row>
    <row r="135" spans="2:19" x14ac:dyDescent="0.2">
      <c r="B135" s="48">
        <f t="shared" si="36"/>
        <v>35</v>
      </c>
      <c r="C135" s="11"/>
      <c r="D135" s="11"/>
      <c r="E135" s="11"/>
      <c r="F135" s="65"/>
      <c r="G135" s="10">
        <v>716</v>
      </c>
      <c r="H135" s="11" t="s">
        <v>216</v>
      </c>
      <c r="I135" s="83"/>
      <c r="J135" s="83"/>
      <c r="K135" s="83">
        <f t="shared" si="31"/>
        <v>0</v>
      </c>
      <c r="L135" s="66"/>
      <c r="M135" s="66">
        <f>SUM(M136:M138)</f>
        <v>164120</v>
      </c>
      <c r="N135" s="66">
        <f>SUM(N136:N138)</f>
        <v>0</v>
      </c>
      <c r="O135" s="66">
        <f t="shared" si="32"/>
        <v>164120</v>
      </c>
      <c r="P135" s="67"/>
      <c r="Q135" s="68">
        <f t="shared" si="33"/>
        <v>164120</v>
      </c>
      <c r="R135" s="68">
        <f t="shared" si="34"/>
        <v>0</v>
      </c>
      <c r="S135" s="68">
        <f t="shared" si="35"/>
        <v>164120</v>
      </c>
    </row>
    <row r="136" spans="2:19" x14ac:dyDescent="0.2">
      <c r="B136" s="48">
        <f t="shared" si="36"/>
        <v>36</v>
      </c>
      <c r="C136" s="81"/>
      <c r="D136" s="81"/>
      <c r="E136" s="13"/>
      <c r="F136" s="82"/>
      <c r="G136" s="82"/>
      <c r="H136" s="13" t="s">
        <v>408</v>
      </c>
      <c r="I136" s="83"/>
      <c r="J136" s="83"/>
      <c r="K136" s="83">
        <f t="shared" si="31"/>
        <v>0</v>
      </c>
      <c r="L136" s="83"/>
      <c r="M136" s="83">
        <v>11640</v>
      </c>
      <c r="N136" s="83"/>
      <c r="O136" s="83">
        <f t="shared" si="32"/>
        <v>11640</v>
      </c>
      <c r="P136" s="84"/>
      <c r="Q136" s="85">
        <f t="shared" si="33"/>
        <v>11640</v>
      </c>
      <c r="R136" s="85">
        <f t="shared" si="34"/>
        <v>0</v>
      </c>
      <c r="S136" s="85">
        <f t="shared" si="35"/>
        <v>11640</v>
      </c>
    </row>
    <row r="137" spans="2:19" x14ac:dyDescent="0.2">
      <c r="B137" s="48">
        <f t="shared" si="36"/>
        <v>37</v>
      </c>
      <c r="C137" s="81"/>
      <c r="D137" s="81"/>
      <c r="E137" s="13"/>
      <c r="F137" s="82"/>
      <c r="G137" s="82"/>
      <c r="H137" s="13" t="s">
        <v>518</v>
      </c>
      <c r="I137" s="83"/>
      <c r="J137" s="83"/>
      <c r="K137" s="83">
        <f t="shared" si="31"/>
        <v>0</v>
      </c>
      <c r="L137" s="83"/>
      <c r="M137" s="83">
        <v>27480</v>
      </c>
      <c r="N137" s="83"/>
      <c r="O137" s="83">
        <f t="shared" si="32"/>
        <v>27480</v>
      </c>
      <c r="P137" s="84"/>
      <c r="Q137" s="85">
        <f t="shared" si="33"/>
        <v>27480</v>
      </c>
      <c r="R137" s="85">
        <f t="shared" si="34"/>
        <v>0</v>
      </c>
      <c r="S137" s="85">
        <f t="shared" si="35"/>
        <v>27480</v>
      </c>
    </row>
    <row r="138" spans="2:19" x14ac:dyDescent="0.2">
      <c r="B138" s="48">
        <f t="shared" si="36"/>
        <v>38</v>
      </c>
      <c r="C138" s="81"/>
      <c r="D138" s="81"/>
      <c r="E138" s="13"/>
      <c r="F138" s="82"/>
      <c r="G138" s="82"/>
      <c r="H138" s="13" t="s">
        <v>486</v>
      </c>
      <c r="I138" s="83"/>
      <c r="J138" s="83"/>
      <c r="K138" s="83">
        <f t="shared" si="31"/>
        <v>0</v>
      </c>
      <c r="L138" s="83"/>
      <c r="M138" s="83">
        <v>125000</v>
      </c>
      <c r="N138" s="83"/>
      <c r="O138" s="83">
        <f t="shared" si="32"/>
        <v>125000</v>
      </c>
      <c r="P138" s="84"/>
      <c r="Q138" s="85">
        <f t="shared" si="33"/>
        <v>125000</v>
      </c>
      <c r="R138" s="85">
        <f t="shared" si="34"/>
        <v>0</v>
      </c>
      <c r="S138" s="85">
        <f t="shared" si="35"/>
        <v>125000</v>
      </c>
    </row>
    <row r="139" spans="2:19" x14ac:dyDescent="0.2">
      <c r="B139" s="48">
        <f t="shared" si="36"/>
        <v>39</v>
      </c>
      <c r="C139" s="11"/>
      <c r="D139" s="11"/>
      <c r="E139" s="11"/>
      <c r="F139" s="65"/>
      <c r="G139" s="10">
        <v>717</v>
      </c>
      <c r="H139" s="11" t="s">
        <v>183</v>
      </c>
      <c r="I139" s="83"/>
      <c r="J139" s="83"/>
      <c r="K139" s="83">
        <f t="shared" si="31"/>
        <v>0</v>
      </c>
      <c r="L139" s="66"/>
      <c r="M139" s="66">
        <f>SUM(M140:M143)</f>
        <v>2227070</v>
      </c>
      <c r="N139" s="66">
        <f>SUM(N141:N144)</f>
        <v>519000</v>
      </c>
      <c r="O139" s="66">
        <f t="shared" si="32"/>
        <v>2746070</v>
      </c>
      <c r="P139" s="67"/>
      <c r="Q139" s="68">
        <f t="shared" si="33"/>
        <v>2227070</v>
      </c>
      <c r="R139" s="68">
        <f t="shared" si="34"/>
        <v>519000</v>
      </c>
      <c r="S139" s="68">
        <f t="shared" si="35"/>
        <v>2746070</v>
      </c>
    </row>
    <row r="140" spans="2:19" x14ac:dyDescent="0.2">
      <c r="B140" s="48">
        <f t="shared" si="36"/>
        <v>40</v>
      </c>
      <c r="C140" s="81"/>
      <c r="D140" s="81"/>
      <c r="E140" s="13"/>
      <c r="F140" s="82"/>
      <c r="G140" s="82"/>
      <c r="H140" s="13" t="s">
        <v>428</v>
      </c>
      <c r="I140" s="83"/>
      <c r="J140" s="83"/>
      <c r="K140" s="83">
        <f t="shared" si="31"/>
        <v>0</v>
      </c>
      <c r="L140" s="83"/>
      <c r="M140" s="83">
        <v>53625</v>
      </c>
      <c r="N140" s="83"/>
      <c r="O140" s="83">
        <f t="shared" si="32"/>
        <v>53625</v>
      </c>
      <c r="P140" s="84"/>
      <c r="Q140" s="85">
        <f t="shared" si="33"/>
        <v>53625</v>
      </c>
      <c r="R140" s="85">
        <f t="shared" si="34"/>
        <v>0</v>
      </c>
      <c r="S140" s="85">
        <f t="shared" si="35"/>
        <v>53625</v>
      </c>
    </row>
    <row r="141" spans="2:19" x14ac:dyDescent="0.2">
      <c r="B141" s="48">
        <f t="shared" si="36"/>
        <v>41</v>
      </c>
      <c r="C141" s="81"/>
      <c r="D141" s="81"/>
      <c r="E141" s="13"/>
      <c r="F141" s="82"/>
      <c r="G141" s="82"/>
      <c r="H141" s="13" t="s">
        <v>429</v>
      </c>
      <c r="I141" s="83"/>
      <c r="J141" s="83"/>
      <c r="K141" s="83">
        <f t="shared" si="31"/>
        <v>0</v>
      </c>
      <c r="L141" s="83"/>
      <c r="M141" s="83">
        <f>237945+20000+15500</f>
        <v>273445</v>
      </c>
      <c r="N141" s="83">
        <v>25000</v>
      </c>
      <c r="O141" s="83">
        <f t="shared" si="32"/>
        <v>298445</v>
      </c>
      <c r="P141" s="84"/>
      <c r="Q141" s="85">
        <f t="shared" si="33"/>
        <v>273445</v>
      </c>
      <c r="R141" s="85">
        <f t="shared" si="34"/>
        <v>25000</v>
      </c>
      <c r="S141" s="85">
        <f t="shared" si="35"/>
        <v>298445</v>
      </c>
    </row>
    <row r="142" spans="2:19" x14ac:dyDescent="0.2">
      <c r="B142" s="48">
        <f t="shared" si="36"/>
        <v>42</v>
      </c>
      <c r="C142" s="81"/>
      <c r="D142" s="81"/>
      <c r="E142" s="13"/>
      <c r="F142" s="82"/>
      <c r="G142" s="82"/>
      <c r="H142" s="13" t="s">
        <v>670</v>
      </c>
      <c r="I142" s="83"/>
      <c r="J142" s="83"/>
      <c r="K142" s="83">
        <f>I142+J142</f>
        <v>0</v>
      </c>
      <c r="L142" s="83"/>
      <c r="M142" s="83">
        <v>0</v>
      </c>
      <c r="N142" s="83">
        <v>210000</v>
      </c>
      <c r="O142" s="83">
        <f>M142+N142</f>
        <v>210000</v>
      </c>
      <c r="P142" s="84"/>
      <c r="Q142" s="85">
        <f t="shared" ref="Q142" si="37">I142+M142</f>
        <v>0</v>
      </c>
      <c r="R142" s="85">
        <f t="shared" ref="R142" si="38">J142+N142</f>
        <v>210000</v>
      </c>
      <c r="S142" s="85">
        <f t="shared" ref="S142" si="39">K142+O142</f>
        <v>210000</v>
      </c>
    </row>
    <row r="143" spans="2:19" x14ac:dyDescent="0.2">
      <c r="B143" s="48">
        <f t="shared" si="36"/>
        <v>43</v>
      </c>
      <c r="C143" s="81"/>
      <c r="D143" s="81"/>
      <c r="E143" s="13"/>
      <c r="F143" s="82"/>
      <c r="G143" s="82"/>
      <c r="H143" s="13" t="s">
        <v>485</v>
      </c>
      <c r="I143" s="83"/>
      <c r="J143" s="83"/>
      <c r="K143" s="83">
        <f t="shared" si="31"/>
        <v>0</v>
      </c>
      <c r="L143" s="83"/>
      <c r="M143" s="83">
        <v>1900000</v>
      </c>
      <c r="N143" s="83"/>
      <c r="O143" s="83">
        <f t="shared" si="32"/>
        <v>1900000</v>
      </c>
      <c r="P143" s="84"/>
      <c r="Q143" s="85">
        <f t="shared" si="33"/>
        <v>1900000</v>
      </c>
      <c r="R143" s="85">
        <f t="shared" si="34"/>
        <v>0</v>
      </c>
      <c r="S143" s="85">
        <f t="shared" si="35"/>
        <v>1900000</v>
      </c>
    </row>
    <row r="144" spans="2:19" x14ac:dyDescent="0.2">
      <c r="B144" s="48">
        <f t="shared" si="36"/>
        <v>44</v>
      </c>
      <c r="C144" s="81"/>
      <c r="D144" s="81"/>
      <c r="E144" s="13"/>
      <c r="F144" s="82"/>
      <c r="G144" s="82"/>
      <c r="H144" s="13" t="s">
        <v>408</v>
      </c>
      <c r="I144" s="83"/>
      <c r="J144" s="83"/>
      <c r="K144" s="83">
        <v>0</v>
      </c>
      <c r="L144" s="83"/>
      <c r="M144" s="83">
        <v>0</v>
      </c>
      <c r="N144" s="83">
        <v>284000</v>
      </c>
      <c r="O144" s="83">
        <f t="shared" si="32"/>
        <v>284000</v>
      </c>
      <c r="P144" s="84"/>
      <c r="Q144" s="85">
        <f t="shared" ref="Q144" si="40">I144+M144</f>
        <v>0</v>
      </c>
      <c r="R144" s="85">
        <f t="shared" ref="R144" si="41">J144+N144</f>
        <v>284000</v>
      </c>
      <c r="S144" s="85">
        <f t="shared" ref="S144" si="42">K144+O144</f>
        <v>284000</v>
      </c>
    </row>
    <row r="145" spans="2:19" ht="15" x14ac:dyDescent="0.2">
      <c r="B145" s="48">
        <f t="shared" si="36"/>
        <v>45</v>
      </c>
      <c r="C145" s="51">
        <v>5</v>
      </c>
      <c r="D145" s="435" t="s">
        <v>153</v>
      </c>
      <c r="E145" s="436"/>
      <c r="F145" s="436"/>
      <c r="G145" s="436"/>
      <c r="H145" s="436"/>
      <c r="I145" s="52">
        <f>I146+I147+I148+I153+I155+I156</f>
        <v>6277830</v>
      </c>
      <c r="J145" s="52">
        <f>J146+J147+J148+J153+J155+J156</f>
        <v>43200</v>
      </c>
      <c r="K145" s="52">
        <f t="shared" si="31"/>
        <v>6321030</v>
      </c>
      <c r="L145" s="53"/>
      <c r="M145" s="52"/>
      <c r="N145" s="52">
        <f>N157</f>
        <v>13600</v>
      </c>
      <c r="O145" s="52">
        <f t="shared" si="32"/>
        <v>13600</v>
      </c>
      <c r="P145" s="54"/>
      <c r="Q145" s="72">
        <f t="shared" si="33"/>
        <v>6277830</v>
      </c>
      <c r="R145" s="72">
        <f t="shared" si="34"/>
        <v>56800</v>
      </c>
      <c r="S145" s="72">
        <f t="shared" si="35"/>
        <v>6334630</v>
      </c>
    </row>
    <row r="146" spans="2:19" x14ac:dyDescent="0.2">
      <c r="B146" s="48">
        <f t="shared" si="36"/>
        <v>46</v>
      </c>
      <c r="C146" s="9"/>
      <c r="D146" s="9"/>
      <c r="E146" s="9"/>
      <c r="F146" s="61" t="s">
        <v>74</v>
      </c>
      <c r="G146" s="8">
        <v>610</v>
      </c>
      <c r="H146" s="9" t="s">
        <v>132</v>
      </c>
      <c r="I146" s="62">
        <v>3400000</v>
      </c>
      <c r="J146" s="62"/>
      <c r="K146" s="62">
        <f t="shared" si="31"/>
        <v>3400000</v>
      </c>
      <c r="L146" s="62"/>
      <c r="M146" s="62"/>
      <c r="N146" s="62"/>
      <c r="O146" s="62">
        <f t="shared" si="32"/>
        <v>0</v>
      </c>
      <c r="P146" s="63"/>
      <c r="Q146" s="64">
        <f t="shared" si="33"/>
        <v>3400000</v>
      </c>
      <c r="R146" s="64">
        <f t="shared" si="34"/>
        <v>0</v>
      </c>
      <c r="S146" s="64">
        <f t="shared" si="35"/>
        <v>3400000</v>
      </c>
    </row>
    <row r="147" spans="2:19" x14ac:dyDescent="0.2">
      <c r="B147" s="48">
        <f t="shared" si="36"/>
        <v>47</v>
      </c>
      <c r="C147" s="9"/>
      <c r="D147" s="9"/>
      <c r="E147" s="9"/>
      <c r="F147" s="61" t="s">
        <v>74</v>
      </c>
      <c r="G147" s="8">
        <v>620</v>
      </c>
      <c r="H147" s="9" t="s">
        <v>125</v>
      </c>
      <c r="I147" s="62">
        <v>1325000</v>
      </c>
      <c r="J147" s="62"/>
      <c r="K147" s="62">
        <f t="shared" si="31"/>
        <v>1325000</v>
      </c>
      <c r="L147" s="62"/>
      <c r="M147" s="62"/>
      <c r="N147" s="62"/>
      <c r="O147" s="62">
        <f t="shared" si="32"/>
        <v>0</v>
      </c>
      <c r="P147" s="63"/>
      <c r="Q147" s="64">
        <f t="shared" si="33"/>
        <v>1325000</v>
      </c>
      <c r="R147" s="64">
        <f t="shared" si="34"/>
        <v>0</v>
      </c>
      <c r="S147" s="64">
        <f t="shared" si="35"/>
        <v>1325000</v>
      </c>
    </row>
    <row r="148" spans="2:19" x14ac:dyDescent="0.2">
      <c r="B148" s="48">
        <f t="shared" si="36"/>
        <v>48</v>
      </c>
      <c r="C148" s="9"/>
      <c r="D148" s="9"/>
      <c r="E148" s="9"/>
      <c r="F148" s="61" t="s">
        <v>74</v>
      </c>
      <c r="G148" s="8">
        <v>630</v>
      </c>
      <c r="H148" s="9" t="s">
        <v>122</v>
      </c>
      <c r="I148" s="62">
        <f>I149+I150+I151+I152</f>
        <v>934830</v>
      </c>
      <c r="J148" s="62">
        <f>J149+J150+J151+J152</f>
        <v>43200</v>
      </c>
      <c r="K148" s="62">
        <f t="shared" si="31"/>
        <v>978030</v>
      </c>
      <c r="L148" s="62"/>
      <c r="M148" s="62"/>
      <c r="N148" s="62"/>
      <c r="O148" s="62">
        <f t="shared" si="32"/>
        <v>0</v>
      </c>
      <c r="P148" s="63"/>
      <c r="Q148" s="64">
        <f t="shared" si="33"/>
        <v>934830</v>
      </c>
      <c r="R148" s="64">
        <f t="shared" si="34"/>
        <v>43200</v>
      </c>
      <c r="S148" s="64">
        <f t="shared" si="35"/>
        <v>978030</v>
      </c>
    </row>
    <row r="149" spans="2:19" x14ac:dyDescent="0.2">
      <c r="B149" s="48">
        <f t="shared" si="36"/>
        <v>49</v>
      </c>
      <c r="C149" s="11"/>
      <c r="D149" s="11"/>
      <c r="E149" s="11"/>
      <c r="F149" s="65"/>
      <c r="G149" s="10">
        <v>632</v>
      </c>
      <c r="H149" s="11" t="s">
        <v>135</v>
      </c>
      <c r="I149" s="66">
        <v>525000</v>
      </c>
      <c r="J149" s="66"/>
      <c r="K149" s="66">
        <f t="shared" si="31"/>
        <v>525000</v>
      </c>
      <c r="L149" s="66"/>
      <c r="M149" s="66"/>
      <c r="N149" s="66"/>
      <c r="O149" s="66">
        <f t="shared" si="32"/>
        <v>0</v>
      </c>
      <c r="P149" s="67"/>
      <c r="Q149" s="68">
        <f t="shared" si="33"/>
        <v>525000</v>
      </c>
      <c r="R149" s="68">
        <f t="shared" si="34"/>
        <v>0</v>
      </c>
      <c r="S149" s="68">
        <f t="shared" si="35"/>
        <v>525000</v>
      </c>
    </row>
    <row r="150" spans="2:19" x14ac:dyDescent="0.2">
      <c r="B150" s="48">
        <f t="shared" si="36"/>
        <v>50</v>
      </c>
      <c r="C150" s="11"/>
      <c r="D150" s="11"/>
      <c r="E150" s="11"/>
      <c r="F150" s="65"/>
      <c r="G150" s="10">
        <v>633</v>
      </c>
      <c r="H150" s="11" t="s">
        <v>126</v>
      </c>
      <c r="I150" s="66">
        <v>40000</v>
      </c>
      <c r="J150" s="66"/>
      <c r="K150" s="66">
        <f t="shared" si="31"/>
        <v>40000</v>
      </c>
      <c r="L150" s="66"/>
      <c r="M150" s="66"/>
      <c r="N150" s="66"/>
      <c r="O150" s="66">
        <f t="shared" si="32"/>
        <v>0</v>
      </c>
      <c r="P150" s="67"/>
      <c r="Q150" s="68">
        <f t="shared" si="33"/>
        <v>40000</v>
      </c>
      <c r="R150" s="68">
        <f t="shared" si="34"/>
        <v>0</v>
      </c>
      <c r="S150" s="68">
        <f t="shared" si="35"/>
        <v>40000</v>
      </c>
    </row>
    <row r="151" spans="2:19" x14ac:dyDescent="0.2">
      <c r="B151" s="48">
        <f t="shared" si="36"/>
        <v>51</v>
      </c>
      <c r="C151" s="11"/>
      <c r="D151" s="11"/>
      <c r="E151" s="11"/>
      <c r="F151" s="65"/>
      <c r="G151" s="10">
        <v>635</v>
      </c>
      <c r="H151" s="11" t="s">
        <v>134</v>
      </c>
      <c r="I151" s="66">
        <v>65000</v>
      </c>
      <c r="J151" s="66"/>
      <c r="K151" s="66">
        <f t="shared" si="31"/>
        <v>65000</v>
      </c>
      <c r="L151" s="66"/>
      <c r="M151" s="66"/>
      <c r="N151" s="66"/>
      <c r="O151" s="66">
        <f t="shared" si="32"/>
        <v>0</v>
      </c>
      <c r="P151" s="67"/>
      <c r="Q151" s="68">
        <f t="shared" si="33"/>
        <v>65000</v>
      </c>
      <c r="R151" s="68">
        <f t="shared" si="34"/>
        <v>0</v>
      </c>
      <c r="S151" s="68">
        <f t="shared" si="35"/>
        <v>65000</v>
      </c>
    </row>
    <row r="152" spans="2:19" x14ac:dyDescent="0.2">
      <c r="B152" s="48">
        <f t="shared" si="36"/>
        <v>52</v>
      </c>
      <c r="C152" s="11"/>
      <c r="D152" s="11"/>
      <c r="E152" s="11"/>
      <c r="F152" s="65"/>
      <c r="G152" s="10">
        <v>637</v>
      </c>
      <c r="H152" s="11" t="s">
        <v>123</v>
      </c>
      <c r="I152" s="66">
        <v>304830</v>
      </c>
      <c r="J152" s="66">
        <v>43200</v>
      </c>
      <c r="K152" s="66">
        <f t="shared" si="31"/>
        <v>348030</v>
      </c>
      <c r="L152" s="66"/>
      <c r="M152" s="66"/>
      <c r="N152" s="66"/>
      <c r="O152" s="66">
        <f t="shared" si="32"/>
        <v>0</v>
      </c>
      <c r="P152" s="67"/>
      <c r="Q152" s="68">
        <f t="shared" si="33"/>
        <v>304830</v>
      </c>
      <c r="R152" s="68">
        <f t="shared" si="34"/>
        <v>43200</v>
      </c>
      <c r="S152" s="68">
        <f t="shared" si="35"/>
        <v>348030</v>
      </c>
    </row>
    <row r="153" spans="2:19" x14ac:dyDescent="0.2">
      <c r="B153" s="48">
        <f t="shared" si="36"/>
        <v>53</v>
      </c>
      <c r="C153" s="9"/>
      <c r="D153" s="9"/>
      <c r="E153" s="9"/>
      <c r="F153" s="61" t="s">
        <v>245</v>
      </c>
      <c r="G153" s="8">
        <v>630</v>
      </c>
      <c r="H153" s="9" t="s">
        <v>122</v>
      </c>
      <c r="I153" s="62">
        <f>I154</f>
        <v>25000</v>
      </c>
      <c r="J153" s="62">
        <f>J154</f>
        <v>0</v>
      </c>
      <c r="K153" s="62">
        <f t="shared" si="31"/>
        <v>25000</v>
      </c>
      <c r="L153" s="62"/>
      <c r="M153" s="62"/>
      <c r="N153" s="62"/>
      <c r="O153" s="62">
        <f t="shared" si="32"/>
        <v>0</v>
      </c>
      <c r="P153" s="63"/>
      <c r="Q153" s="64">
        <f t="shared" si="33"/>
        <v>25000</v>
      </c>
      <c r="R153" s="64">
        <f t="shared" si="34"/>
        <v>0</v>
      </c>
      <c r="S153" s="64">
        <f t="shared" si="35"/>
        <v>25000</v>
      </c>
    </row>
    <row r="154" spans="2:19" x14ac:dyDescent="0.2">
      <c r="B154" s="48">
        <f t="shared" si="36"/>
        <v>54</v>
      </c>
      <c r="C154" s="11"/>
      <c r="D154" s="11"/>
      <c r="E154" s="11"/>
      <c r="F154" s="65"/>
      <c r="G154" s="10">
        <v>637</v>
      </c>
      <c r="H154" s="11" t="s">
        <v>123</v>
      </c>
      <c r="I154" s="66">
        <v>25000</v>
      </c>
      <c r="J154" s="66"/>
      <c r="K154" s="66">
        <f t="shared" si="31"/>
        <v>25000</v>
      </c>
      <c r="L154" s="66"/>
      <c r="M154" s="66"/>
      <c r="N154" s="66"/>
      <c r="O154" s="66">
        <f t="shared" si="32"/>
        <v>0</v>
      </c>
      <c r="P154" s="67"/>
      <c r="Q154" s="68">
        <f t="shared" si="33"/>
        <v>25000</v>
      </c>
      <c r="R154" s="68">
        <f t="shared" si="34"/>
        <v>0</v>
      </c>
      <c r="S154" s="68">
        <f t="shared" si="35"/>
        <v>25000</v>
      </c>
    </row>
    <row r="155" spans="2:19" s="79" customFormat="1" ht="24" x14ac:dyDescent="0.2">
      <c r="B155" s="48">
        <f t="shared" si="36"/>
        <v>55</v>
      </c>
      <c r="C155" s="109"/>
      <c r="D155" s="109"/>
      <c r="E155" s="109"/>
      <c r="F155" s="110" t="s">
        <v>209</v>
      </c>
      <c r="G155" s="111">
        <v>650</v>
      </c>
      <c r="H155" s="112" t="s">
        <v>456</v>
      </c>
      <c r="I155" s="113">
        <v>418000</v>
      </c>
      <c r="J155" s="113"/>
      <c r="K155" s="113">
        <f t="shared" si="31"/>
        <v>418000</v>
      </c>
      <c r="L155" s="113"/>
      <c r="M155" s="113"/>
      <c r="N155" s="113"/>
      <c r="O155" s="113">
        <f t="shared" si="32"/>
        <v>0</v>
      </c>
      <c r="P155" s="114"/>
      <c r="Q155" s="115">
        <f t="shared" si="33"/>
        <v>418000</v>
      </c>
      <c r="R155" s="115">
        <f t="shared" si="34"/>
        <v>0</v>
      </c>
      <c r="S155" s="115">
        <f t="shared" si="35"/>
        <v>418000</v>
      </c>
    </row>
    <row r="156" spans="2:19" x14ac:dyDescent="0.2">
      <c r="B156" s="48">
        <f t="shared" si="36"/>
        <v>56</v>
      </c>
      <c r="C156" s="9"/>
      <c r="D156" s="9"/>
      <c r="E156" s="9"/>
      <c r="F156" s="61" t="s">
        <v>74</v>
      </c>
      <c r="G156" s="8">
        <v>640</v>
      </c>
      <c r="H156" s="9" t="s">
        <v>130</v>
      </c>
      <c r="I156" s="62">
        <v>175000</v>
      </c>
      <c r="J156" s="62"/>
      <c r="K156" s="62">
        <f t="shared" si="31"/>
        <v>175000</v>
      </c>
      <c r="L156" s="62"/>
      <c r="M156" s="62"/>
      <c r="N156" s="62"/>
      <c r="O156" s="62">
        <f t="shared" si="32"/>
        <v>0</v>
      </c>
      <c r="P156" s="63"/>
      <c r="Q156" s="64">
        <f t="shared" si="33"/>
        <v>175000</v>
      </c>
      <c r="R156" s="64">
        <f t="shared" si="34"/>
        <v>0</v>
      </c>
      <c r="S156" s="64">
        <f t="shared" si="35"/>
        <v>175000</v>
      </c>
    </row>
    <row r="157" spans="2:19" x14ac:dyDescent="0.2">
      <c r="B157" s="48">
        <f t="shared" si="36"/>
        <v>57</v>
      </c>
      <c r="C157" s="9"/>
      <c r="D157" s="9"/>
      <c r="E157" s="9"/>
      <c r="F157" s="61" t="s">
        <v>74</v>
      </c>
      <c r="G157" s="8">
        <v>710</v>
      </c>
      <c r="H157" s="9" t="s">
        <v>176</v>
      </c>
      <c r="I157" s="83"/>
      <c r="J157" s="83"/>
      <c r="K157" s="83">
        <f>I157+J157</f>
        <v>0</v>
      </c>
      <c r="L157" s="62"/>
      <c r="M157" s="62">
        <f>M163+M158</f>
        <v>0</v>
      </c>
      <c r="N157" s="62">
        <f>N158</f>
        <v>13600</v>
      </c>
      <c r="O157" s="62">
        <f>M157+N157</f>
        <v>13600</v>
      </c>
      <c r="P157" s="63"/>
      <c r="Q157" s="64">
        <f t="shared" si="33"/>
        <v>0</v>
      </c>
      <c r="R157" s="64">
        <f t="shared" si="34"/>
        <v>13600</v>
      </c>
      <c r="S157" s="64">
        <f t="shared" si="35"/>
        <v>13600</v>
      </c>
    </row>
    <row r="158" spans="2:19" x14ac:dyDescent="0.2">
      <c r="B158" s="48">
        <f t="shared" si="36"/>
        <v>58</v>
      </c>
      <c r="C158" s="11"/>
      <c r="D158" s="11"/>
      <c r="E158" s="11"/>
      <c r="F158" s="65"/>
      <c r="G158" s="10">
        <v>713</v>
      </c>
      <c r="H158" s="11" t="s">
        <v>219</v>
      </c>
      <c r="I158" s="83"/>
      <c r="J158" s="83"/>
      <c r="K158" s="83">
        <f>I158+J158</f>
        <v>0</v>
      </c>
      <c r="L158" s="66"/>
      <c r="M158" s="66">
        <f>SUM(M159:M162)</f>
        <v>0</v>
      </c>
      <c r="N158" s="66">
        <f>N159+N160</f>
        <v>13600</v>
      </c>
      <c r="O158" s="66">
        <f>M158+N158</f>
        <v>13600</v>
      </c>
      <c r="P158" s="67"/>
      <c r="Q158" s="68">
        <f t="shared" si="33"/>
        <v>0</v>
      </c>
      <c r="R158" s="68">
        <f t="shared" si="34"/>
        <v>13600</v>
      </c>
      <c r="S158" s="68">
        <f t="shared" si="35"/>
        <v>13600</v>
      </c>
    </row>
    <row r="159" spans="2:19" x14ac:dyDescent="0.2">
      <c r="B159" s="48">
        <f t="shared" si="36"/>
        <v>59</v>
      </c>
      <c r="C159" s="81"/>
      <c r="D159" s="81"/>
      <c r="E159" s="13"/>
      <c r="F159" s="82"/>
      <c r="G159" s="82"/>
      <c r="H159" s="13" t="s">
        <v>619</v>
      </c>
      <c r="I159" s="83"/>
      <c r="J159" s="83"/>
      <c r="K159" s="83">
        <f>I159+J159</f>
        <v>0</v>
      </c>
      <c r="L159" s="83"/>
      <c r="M159" s="83">
        <v>0</v>
      </c>
      <c r="N159" s="83">
        <v>11200</v>
      </c>
      <c r="O159" s="83">
        <f>M159+N159</f>
        <v>11200</v>
      </c>
      <c r="P159" s="84"/>
      <c r="Q159" s="85">
        <f t="shared" si="33"/>
        <v>0</v>
      </c>
      <c r="R159" s="85">
        <f t="shared" si="34"/>
        <v>11200</v>
      </c>
      <c r="S159" s="85">
        <f t="shared" si="35"/>
        <v>11200</v>
      </c>
    </row>
    <row r="160" spans="2:19" x14ac:dyDescent="0.2">
      <c r="B160" s="48">
        <f t="shared" si="36"/>
        <v>60</v>
      </c>
      <c r="C160" s="81"/>
      <c r="D160" s="81"/>
      <c r="E160" s="13"/>
      <c r="F160" s="82"/>
      <c r="G160" s="82"/>
      <c r="H160" s="13" t="s">
        <v>620</v>
      </c>
      <c r="I160" s="83"/>
      <c r="J160" s="83"/>
      <c r="K160" s="83"/>
      <c r="L160" s="83"/>
      <c r="M160" s="83">
        <v>0</v>
      </c>
      <c r="N160" s="83">
        <v>2400</v>
      </c>
      <c r="O160" s="83">
        <f>N160</f>
        <v>2400</v>
      </c>
      <c r="P160" s="84"/>
      <c r="Q160" s="85">
        <f t="shared" si="33"/>
        <v>0</v>
      </c>
      <c r="R160" s="85">
        <f t="shared" si="34"/>
        <v>2400</v>
      </c>
      <c r="S160" s="85">
        <f t="shared" si="35"/>
        <v>2400</v>
      </c>
    </row>
    <row r="161" spans="2:19" ht="15" x14ac:dyDescent="0.2">
      <c r="B161" s="48" t="e">
        <f>#REF!+1</f>
        <v>#REF!</v>
      </c>
      <c r="C161" s="51">
        <v>6</v>
      </c>
      <c r="D161" s="455" t="s">
        <v>259</v>
      </c>
      <c r="E161" s="456"/>
      <c r="F161" s="456"/>
      <c r="G161" s="456"/>
      <c r="H161" s="457"/>
      <c r="I161" s="52">
        <f>I162+I164</f>
        <v>19500</v>
      </c>
      <c r="J161" s="52">
        <f>J162+J164</f>
        <v>0</v>
      </c>
      <c r="K161" s="52">
        <f t="shared" si="31"/>
        <v>19500</v>
      </c>
      <c r="L161" s="53"/>
      <c r="M161" s="52"/>
      <c r="N161" s="52"/>
      <c r="O161" s="52">
        <f t="shared" si="32"/>
        <v>0</v>
      </c>
      <c r="P161" s="54"/>
      <c r="Q161" s="72">
        <f t="shared" si="33"/>
        <v>19500</v>
      </c>
      <c r="R161" s="72">
        <f t="shared" si="34"/>
        <v>0</v>
      </c>
      <c r="S161" s="72">
        <f t="shared" si="35"/>
        <v>19500</v>
      </c>
    </row>
    <row r="162" spans="2:19" x14ac:dyDescent="0.2">
      <c r="B162" s="48" t="e">
        <f t="shared" si="36"/>
        <v>#REF!</v>
      </c>
      <c r="C162" s="9"/>
      <c r="D162" s="9"/>
      <c r="E162" s="9"/>
      <c r="F162" s="61" t="s">
        <v>74</v>
      </c>
      <c r="G162" s="8">
        <v>630</v>
      </c>
      <c r="H162" s="9" t="s">
        <v>122</v>
      </c>
      <c r="I162" s="62">
        <f>I163</f>
        <v>5500</v>
      </c>
      <c r="J162" s="62">
        <f>J163</f>
        <v>0</v>
      </c>
      <c r="K162" s="62">
        <f t="shared" si="31"/>
        <v>5500</v>
      </c>
      <c r="L162" s="62"/>
      <c r="M162" s="62"/>
      <c r="N162" s="62"/>
      <c r="O162" s="62">
        <f t="shared" si="32"/>
        <v>0</v>
      </c>
      <c r="P162" s="63"/>
      <c r="Q162" s="64">
        <f t="shared" si="33"/>
        <v>5500</v>
      </c>
      <c r="R162" s="64">
        <f t="shared" si="34"/>
        <v>0</v>
      </c>
      <c r="S162" s="64">
        <f t="shared" si="35"/>
        <v>5500</v>
      </c>
    </row>
    <row r="163" spans="2:19" x14ac:dyDescent="0.2">
      <c r="B163" s="48" t="e">
        <f t="shared" si="36"/>
        <v>#REF!</v>
      </c>
      <c r="C163" s="11"/>
      <c r="D163" s="11"/>
      <c r="E163" s="11"/>
      <c r="F163" s="65"/>
      <c r="G163" s="10">
        <v>631</v>
      </c>
      <c r="H163" s="11" t="s">
        <v>128</v>
      </c>
      <c r="I163" s="66">
        <v>5500</v>
      </c>
      <c r="J163" s="66"/>
      <c r="K163" s="66">
        <f t="shared" si="31"/>
        <v>5500</v>
      </c>
      <c r="L163" s="66"/>
      <c r="M163" s="66"/>
      <c r="N163" s="66"/>
      <c r="O163" s="66">
        <f t="shared" si="32"/>
        <v>0</v>
      </c>
      <c r="P163" s="67"/>
      <c r="Q163" s="68">
        <f t="shared" si="33"/>
        <v>5500</v>
      </c>
      <c r="R163" s="68">
        <f t="shared" si="34"/>
        <v>0</v>
      </c>
      <c r="S163" s="68">
        <f t="shared" si="35"/>
        <v>5500</v>
      </c>
    </row>
    <row r="164" spans="2:19" x14ac:dyDescent="0.2">
      <c r="B164" s="48" t="e">
        <f t="shared" si="36"/>
        <v>#REF!</v>
      </c>
      <c r="C164" s="9"/>
      <c r="D164" s="9"/>
      <c r="E164" s="9"/>
      <c r="F164" s="61" t="s">
        <v>159</v>
      </c>
      <c r="G164" s="8">
        <v>630</v>
      </c>
      <c r="H164" s="9" t="s">
        <v>122</v>
      </c>
      <c r="I164" s="62">
        <f>I165</f>
        <v>14000</v>
      </c>
      <c r="J164" s="62">
        <f>J165</f>
        <v>0</v>
      </c>
      <c r="K164" s="62">
        <f t="shared" si="31"/>
        <v>14000</v>
      </c>
      <c r="L164" s="62"/>
      <c r="M164" s="62"/>
      <c r="N164" s="62"/>
      <c r="O164" s="62">
        <f t="shared" si="32"/>
        <v>0</v>
      </c>
      <c r="P164" s="63"/>
      <c r="Q164" s="64">
        <f t="shared" si="33"/>
        <v>14000</v>
      </c>
      <c r="R164" s="64">
        <f t="shared" si="34"/>
        <v>0</v>
      </c>
      <c r="S164" s="64">
        <f t="shared" si="35"/>
        <v>14000</v>
      </c>
    </row>
    <row r="165" spans="2:19" x14ac:dyDescent="0.2">
      <c r="B165" s="48" t="e">
        <f t="shared" si="36"/>
        <v>#REF!</v>
      </c>
      <c r="C165" s="11"/>
      <c r="D165" s="11"/>
      <c r="E165" s="11"/>
      <c r="F165" s="65"/>
      <c r="G165" s="10">
        <v>637</v>
      </c>
      <c r="H165" s="11" t="s">
        <v>123</v>
      </c>
      <c r="I165" s="66">
        <v>14000</v>
      </c>
      <c r="J165" s="66"/>
      <c r="K165" s="66">
        <f t="shared" si="31"/>
        <v>14000</v>
      </c>
      <c r="L165" s="66"/>
      <c r="M165" s="66"/>
      <c r="N165" s="66"/>
      <c r="O165" s="66">
        <f t="shared" si="32"/>
        <v>0</v>
      </c>
      <c r="P165" s="67"/>
      <c r="Q165" s="68">
        <f t="shared" ref="Q165:Q184" si="43">I165+M165</f>
        <v>14000</v>
      </c>
      <c r="R165" s="68">
        <f t="shared" ref="R165:R184" si="44">J165+N165</f>
        <v>0</v>
      </c>
      <c r="S165" s="68">
        <f t="shared" ref="S165:S184" si="45">K165+O165</f>
        <v>14000</v>
      </c>
    </row>
    <row r="166" spans="2:19" ht="15" x14ac:dyDescent="0.2">
      <c r="B166" s="48" t="e">
        <f t="shared" si="36"/>
        <v>#REF!</v>
      </c>
      <c r="C166" s="51">
        <v>7</v>
      </c>
      <c r="D166" s="435" t="s">
        <v>136</v>
      </c>
      <c r="E166" s="436"/>
      <c r="F166" s="436"/>
      <c r="G166" s="436"/>
      <c r="H166" s="436"/>
      <c r="I166" s="52">
        <f>I167</f>
        <v>421500</v>
      </c>
      <c r="J166" s="52">
        <f>J167</f>
        <v>0</v>
      </c>
      <c r="K166" s="52">
        <f t="shared" si="31"/>
        <v>421500</v>
      </c>
      <c r="L166" s="53"/>
      <c r="M166" s="52">
        <f>M174</f>
        <v>217000</v>
      </c>
      <c r="N166" s="52">
        <f>N174</f>
        <v>0</v>
      </c>
      <c r="O166" s="52">
        <f t="shared" si="32"/>
        <v>217000</v>
      </c>
      <c r="P166" s="54"/>
      <c r="Q166" s="72">
        <f t="shared" si="43"/>
        <v>638500</v>
      </c>
      <c r="R166" s="72">
        <f t="shared" si="44"/>
        <v>0</v>
      </c>
      <c r="S166" s="72">
        <f t="shared" si="45"/>
        <v>638500</v>
      </c>
    </row>
    <row r="167" spans="2:19" x14ac:dyDescent="0.2">
      <c r="B167" s="48" t="e">
        <f t="shared" si="36"/>
        <v>#REF!</v>
      </c>
      <c r="C167" s="9"/>
      <c r="D167" s="9"/>
      <c r="E167" s="9"/>
      <c r="F167" s="61" t="s">
        <v>74</v>
      </c>
      <c r="G167" s="8">
        <v>630</v>
      </c>
      <c r="H167" s="9" t="s">
        <v>122</v>
      </c>
      <c r="I167" s="62">
        <f>SUM(I168:I173)</f>
        <v>421500</v>
      </c>
      <c r="J167" s="62">
        <f>SUM(J168:J173)</f>
        <v>0</v>
      </c>
      <c r="K167" s="62">
        <f t="shared" si="31"/>
        <v>421500</v>
      </c>
      <c r="L167" s="62"/>
      <c r="M167" s="62"/>
      <c r="N167" s="62"/>
      <c r="O167" s="62">
        <f t="shared" si="32"/>
        <v>0</v>
      </c>
      <c r="P167" s="63"/>
      <c r="Q167" s="64">
        <f t="shared" si="43"/>
        <v>421500</v>
      </c>
      <c r="R167" s="64">
        <f t="shared" si="44"/>
        <v>0</v>
      </c>
      <c r="S167" s="64">
        <f t="shared" si="45"/>
        <v>421500</v>
      </c>
    </row>
    <row r="168" spans="2:19" x14ac:dyDescent="0.2">
      <c r="B168" s="48" t="e">
        <f t="shared" si="36"/>
        <v>#REF!</v>
      </c>
      <c r="C168" s="11"/>
      <c r="D168" s="11"/>
      <c r="E168" s="11"/>
      <c r="F168" s="65"/>
      <c r="G168" s="10">
        <v>632</v>
      </c>
      <c r="H168" s="11" t="s">
        <v>135</v>
      </c>
      <c r="I168" s="66">
        <v>6000</v>
      </c>
      <c r="J168" s="66"/>
      <c r="K168" s="66">
        <f t="shared" si="31"/>
        <v>6000</v>
      </c>
      <c r="L168" s="66"/>
      <c r="M168" s="66"/>
      <c r="N168" s="66"/>
      <c r="O168" s="66">
        <f t="shared" si="32"/>
        <v>0</v>
      </c>
      <c r="P168" s="67"/>
      <c r="Q168" s="68">
        <f t="shared" si="43"/>
        <v>6000</v>
      </c>
      <c r="R168" s="68">
        <f t="shared" si="44"/>
        <v>0</v>
      </c>
      <c r="S168" s="68">
        <f t="shared" si="45"/>
        <v>6000</v>
      </c>
    </row>
    <row r="169" spans="2:19" x14ac:dyDescent="0.2">
      <c r="B169" s="48" t="e">
        <f t="shared" si="36"/>
        <v>#REF!</v>
      </c>
      <c r="C169" s="11"/>
      <c r="D169" s="11"/>
      <c r="E169" s="11"/>
      <c r="F169" s="65"/>
      <c r="G169" s="10">
        <v>633</v>
      </c>
      <c r="H169" s="11" t="s">
        <v>126</v>
      </c>
      <c r="I169" s="66">
        <f>68000-3000</f>
        <v>65000</v>
      </c>
      <c r="J169" s="66"/>
      <c r="K169" s="66">
        <f t="shared" si="31"/>
        <v>65000</v>
      </c>
      <c r="L169" s="66"/>
      <c r="M169" s="66"/>
      <c r="N169" s="66"/>
      <c r="O169" s="66">
        <f t="shared" si="32"/>
        <v>0</v>
      </c>
      <c r="P169" s="67"/>
      <c r="Q169" s="68">
        <f t="shared" si="43"/>
        <v>65000</v>
      </c>
      <c r="R169" s="68">
        <f t="shared" si="44"/>
        <v>0</v>
      </c>
      <c r="S169" s="68">
        <f t="shared" si="45"/>
        <v>65000</v>
      </c>
    </row>
    <row r="170" spans="2:19" x14ac:dyDescent="0.2">
      <c r="B170" s="48" t="e">
        <f t="shared" si="36"/>
        <v>#REF!</v>
      </c>
      <c r="C170" s="11"/>
      <c r="D170" s="11"/>
      <c r="E170" s="11"/>
      <c r="F170" s="65"/>
      <c r="G170" s="10">
        <v>635</v>
      </c>
      <c r="H170" s="11" t="s">
        <v>134</v>
      </c>
      <c r="I170" s="66">
        <f>280000-20000</f>
        <v>260000</v>
      </c>
      <c r="J170" s="66"/>
      <c r="K170" s="66">
        <f t="shared" si="31"/>
        <v>260000</v>
      </c>
      <c r="L170" s="66"/>
      <c r="M170" s="66"/>
      <c r="N170" s="66"/>
      <c r="O170" s="66">
        <f t="shared" si="32"/>
        <v>0</v>
      </c>
      <c r="P170" s="67"/>
      <c r="Q170" s="68">
        <f t="shared" si="43"/>
        <v>260000</v>
      </c>
      <c r="R170" s="68">
        <f t="shared" si="44"/>
        <v>0</v>
      </c>
      <c r="S170" s="68">
        <f t="shared" si="45"/>
        <v>260000</v>
      </c>
    </row>
    <row r="171" spans="2:19" x14ac:dyDescent="0.2">
      <c r="B171" s="48" t="e">
        <f t="shared" ref="B171:B184" si="46">B170+1</f>
        <v>#REF!</v>
      </c>
      <c r="C171" s="11"/>
      <c r="D171" s="11"/>
      <c r="E171" s="11"/>
      <c r="F171" s="65"/>
      <c r="G171" s="10">
        <v>636</v>
      </c>
      <c r="H171" s="11" t="s">
        <v>127</v>
      </c>
      <c r="I171" s="66">
        <v>34500</v>
      </c>
      <c r="J171" s="66"/>
      <c r="K171" s="66">
        <f t="shared" ref="K171:K184" si="47">I171+J171</f>
        <v>34500</v>
      </c>
      <c r="L171" s="66"/>
      <c r="M171" s="66"/>
      <c r="N171" s="66"/>
      <c r="O171" s="66">
        <f t="shared" ref="O171:O184" si="48">M171+N171</f>
        <v>0</v>
      </c>
      <c r="P171" s="67"/>
      <c r="Q171" s="68">
        <f t="shared" si="43"/>
        <v>34500</v>
      </c>
      <c r="R171" s="68">
        <f t="shared" si="44"/>
        <v>0</v>
      </c>
      <c r="S171" s="68">
        <f t="shared" si="45"/>
        <v>34500</v>
      </c>
    </row>
    <row r="172" spans="2:19" x14ac:dyDescent="0.2">
      <c r="B172" s="48" t="e">
        <f t="shared" si="46"/>
        <v>#REF!</v>
      </c>
      <c r="C172" s="11"/>
      <c r="D172" s="11"/>
      <c r="E172" s="11"/>
      <c r="F172" s="65"/>
      <c r="G172" s="10">
        <v>637</v>
      </c>
      <c r="H172" s="11" t="s">
        <v>123</v>
      </c>
      <c r="I172" s="66">
        <f>20000+20000</f>
        <v>40000</v>
      </c>
      <c r="J172" s="66"/>
      <c r="K172" s="66">
        <f t="shared" si="47"/>
        <v>40000</v>
      </c>
      <c r="L172" s="66"/>
      <c r="M172" s="66"/>
      <c r="N172" s="66"/>
      <c r="O172" s="66">
        <f t="shared" si="48"/>
        <v>0</v>
      </c>
      <c r="P172" s="67"/>
      <c r="Q172" s="68">
        <f t="shared" si="43"/>
        <v>40000</v>
      </c>
      <c r="R172" s="68">
        <f t="shared" si="44"/>
        <v>0</v>
      </c>
      <c r="S172" s="68">
        <f t="shared" si="45"/>
        <v>40000</v>
      </c>
    </row>
    <row r="173" spans="2:19" x14ac:dyDescent="0.2">
      <c r="B173" s="48" t="e">
        <f t="shared" si="46"/>
        <v>#REF!</v>
      </c>
      <c r="C173" s="11"/>
      <c r="D173" s="11"/>
      <c r="E173" s="11"/>
      <c r="F173" s="65"/>
      <c r="G173" s="10">
        <v>637</v>
      </c>
      <c r="H173" s="11" t="s">
        <v>578</v>
      </c>
      <c r="I173" s="66">
        <v>16000</v>
      </c>
      <c r="J173" s="66"/>
      <c r="K173" s="66">
        <f t="shared" si="47"/>
        <v>16000</v>
      </c>
      <c r="L173" s="66"/>
      <c r="M173" s="66"/>
      <c r="N173" s="66"/>
      <c r="O173" s="66">
        <f t="shared" si="48"/>
        <v>0</v>
      </c>
      <c r="P173" s="67"/>
      <c r="Q173" s="68">
        <f t="shared" si="43"/>
        <v>16000</v>
      </c>
      <c r="R173" s="68">
        <f t="shared" si="44"/>
        <v>0</v>
      </c>
      <c r="S173" s="68">
        <f t="shared" si="45"/>
        <v>16000</v>
      </c>
    </row>
    <row r="174" spans="2:19" x14ac:dyDescent="0.2">
      <c r="B174" s="48" t="e">
        <f t="shared" si="46"/>
        <v>#REF!</v>
      </c>
      <c r="C174" s="9"/>
      <c r="D174" s="9"/>
      <c r="E174" s="9"/>
      <c r="F174" s="61" t="s">
        <v>74</v>
      </c>
      <c r="G174" s="8">
        <v>710</v>
      </c>
      <c r="H174" s="9" t="s">
        <v>176</v>
      </c>
      <c r="I174" s="83"/>
      <c r="J174" s="83"/>
      <c r="K174" s="83">
        <f t="shared" si="47"/>
        <v>0</v>
      </c>
      <c r="L174" s="62"/>
      <c r="M174" s="62">
        <f>M175+M178</f>
        <v>217000</v>
      </c>
      <c r="N174" s="62">
        <f>N175+N178</f>
        <v>0</v>
      </c>
      <c r="O174" s="62">
        <f t="shared" si="48"/>
        <v>217000</v>
      </c>
      <c r="P174" s="63"/>
      <c r="Q174" s="64">
        <f t="shared" si="43"/>
        <v>217000</v>
      </c>
      <c r="R174" s="64">
        <f t="shared" si="44"/>
        <v>0</v>
      </c>
      <c r="S174" s="64">
        <f t="shared" si="45"/>
        <v>217000</v>
      </c>
    </row>
    <row r="175" spans="2:19" x14ac:dyDescent="0.2">
      <c r="B175" s="48" t="e">
        <f t="shared" si="46"/>
        <v>#REF!</v>
      </c>
      <c r="C175" s="11"/>
      <c r="D175" s="11"/>
      <c r="E175" s="11"/>
      <c r="F175" s="65"/>
      <c r="G175" s="10">
        <v>711</v>
      </c>
      <c r="H175" s="11" t="s">
        <v>210</v>
      </c>
      <c r="I175" s="83"/>
      <c r="J175" s="83"/>
      <c r="K175" s="83">
        <f t="shared" si="47"/>
        <v>0</v>
      </c>
      <c r="L175" s="66"/>
      <c r="M175" s="66">
        <f>SUM(M176:M177)</f>
        <v>94000</v>
      </c>
      <c r="N175" s="66">
        <f>SUM(N176:N177)</f>
        <v>0</v>
      </c>
      <c r="O175" s="66">
        <f t="shared" si="48"/>
        <v>94000</v>
      </c>
      <c r="P175" s="67"/>
      <c r="Q175" s="68">
        <f t="shared" si="43"/>
        <v>94000</v>
      </c>
      <c r="R175" s="68">
        <f t="shared" si="44"/>
        <v>0</v>
      </c>
      <c r="S175" s="68">
        <f t="shared" si="45"/>
        <v>94000</v>
      </c>
    </row>
    <row r="176" spans="2:19" x14ac:dyDescent="0.2">
      <c r="B176" s="48" t="e">
        <f t="shared" si="46"/>
        <v>#REF!</v>
      </c>
      <c r="C176" s="81"/>
      <c r="D176" s="81"/>
      <c r="E176" s="13"/>
      <c r="F176" s="82"/>
      <c r="G176" s="82"/>
      <c r="H176" s="13" t="s">
        <v>339</v>
      </c>
      <c r="I176" s="83"/>
      <c r="J176" s="83"/>
      <c r="K176" s="83">
        <f t="shared" si="47"/>
        <v>0</v>
      </c>
      <c r="L176" s="83"/>
      <c r="M176" s="83">
        <v>10000</v>
      </c>
      <c r="N176" s="83"/>
      <c r="O176" s="83">
        <f t="shared" si="48"/>
        <v>10000</v>
      </c>
      <c r="P176" s="84"/>
      <c r="Q176" s="85">
        <f t="shared" si="43"/>
        <v>10000</v>
      </c>
      <c r="R176" s="85">
        <f t="shared" si="44"/>
        <v>0</v>
      </c>
      <c r="S176" s="85">
        <f t="shared" si="45"/>
        <v>10000</v>
      </c>
    </row>
    <row r="177" spans="2:19" x14ac:dyDescent="0.2">
      <c r="B177" s="48" t="e">
        <f t="shared" si="46"/>
        <v>#REF!</v>
      </c>
      <c r="C177" s="81"/>
      <c r="D177" s="81"/>
      <c r="E177" s="13"/>
      <c r="F177" s="82"/>
      <c r="G177" s="82"/>
      <c r="H177" s="13" t="s">
        <v>578</v>
      </c>
      <c r="I177" s="83"/>
      <c r="J177" s="83"/>
      <c r="K177" s="83">
        <f t="shared" si="47"/>
        <v>0</v>
      </c>
      <c r="L177" s="83"/>
      <c r="M177" s="83">
        <v>84000</v>
      </c>
      <c r="N177" s="83"/>
      <c r="O177" s="83">
        <f t="shared" si="48"/>
        <v>84000</v>
      </c>
      <c r="P177" s="84"/>
      <c r="Q177" s="85">
        <f t="shared" si="43"/>
        <v>84000</v>
      </c>
      <c r="R177" s="85">
        <f t="shared" si="44"/>
        <v>0</v>
      </c>
      <c r="S177" s="85">
        <f t="shared" si="45"/>
        <v>84000</v>
      </c>
    </row>
    <row r="178" spans="2:19" x14ac:dyDescent="0.2">
      <c r="B178" s="48" t="e">
        <f t="shared" si="46"/>
        <v>#REF!</v>
      </c>
      <c r="C178" s="11"/>
      <c r="D178" s="11"/>
      <c r="E178" s="11"/>
      <c r="F178" s="65"/>
      <c r="G178" s="10">
        <v>713</v>
      </c>
      <c r="H178" s="11" t="s">
        <v>219</v>
      </c>
      <c r="I178" s="83"/>
      <c r="J178" s="83"/>
      <c r="K178" s="83">
        <f t="shared" si="47"/>
        <v>0</v>
      </c>
      <c r="L178" s="66"/>
      <c r="M178" s="66">
        <f>SUM(M179:M180)</f>
        <v>123000</v>
      </c>
      <c r="N178" s="66">
        <f>SUM(N179:N180)</f>
        <v>0</v>
      </c>
      <c r="O178" s="66">
        <f t="shared" si="48"/>
        <v>123000</v>
      </c>
      <c r="P178" s="67"/>
      <c r="Q178" s="68">
        <f t="shared" si="43"/>
        <v>123000</v>
      </c>
      <c r="R178" s="68">
        <f t="shared" si="44"/>
        <v>0</v>
      </c>
      <c r="S178" s="68">
        <f t="shared" si="45"/>
        <v>123000</v>
      </c>
    </row>
    <row r="179" spans="2:19" x14ac:dyDescent="0.2">
      <c r="B179" s="48" t="e">
        <f t="shared" si="46"/>
        <v>#REF!</v>
      </c>
      <c r="C179" s="81"/>
      <c r="D179" s="81"/>
      <c r="E179" s="13"/>
      <c r="F179" s="82"/>
      <c r="G179" s="82"/>
      <c r="H179" s="13" t="s">
        <v>475</v>
      </c>
      <c r="I179" s="83"/>
      <c r="J179" s="83"/>
      <c r="K179" s="83">
        <f t="shared" si="47"/>
        <v>0</v>
      </c>
      <c r="L179" s="83"/>
      <c r="M179" s="83">
        <v>120000</v>
      </c>
      <c r="N179" s="83"/>
      <c r="O179" s="83">
        <f t="shared" si="48"/>
        <v>120000</v>
      </c>
      <c r="P179" s="84"/>
      <c r="Q179" s="85">
        <f t="shared" si="43"/>
        <v>120000</v>
      </c>
      <c r="R179" s="85">
        <f t="shared" si="44"/>
        <v>0</v>
      </c>
      <c r="S179" s="85">
        <f t="shared" si="45"/>
        <v>120000</v>
      </c>
    </row>
    <row r="180" spans="2:19" x14ac:dyDescent="0.2">
      <c r="B180" s="48" t="e">
        <f t="shared" si="46"/>
        <v>#REF!</v>
      </c>
      <c r="C180" s="81"/>
      <c r="D180" s="81"/>
      <c r="E180" s="13"/>
      <c r="F180" s="82"/>
      <c r="G180" s="82"/>
      <c r="H180" s="13" t="s">
        <v>580</v>
      </c>
      <c r="I180" s="83"/>
      <c r="J180" s="83"/>
      <c r="K180" s="83">
        <f t="shared" si="47"/>
        <v>0</v>
      </c>
      <c r="L180" s="83"/>
      <c r="M180" s="83">
        <v>3000</v>
      </c>
      <c r="N180" s="83"/>
      <c r="O180" s="83">
        <f t="shared" si="48"/>
        <v>3000</v>
      </c>
      <c r="P180" s="84"/>
      <c r="Q180" s="85">
        <f t="shared" si="43"/>
        <v>3000</v>
      </c>
      <c r="R180" s="85">
        <f t="shared" si="44"/>
        <v>0</v>
      </c>
      <c r="S180" s="85">
        <f t="shared" si="45"/>
        <v>3000</v>
      </c>
    </row>
    <row r="181" spans="2:19" ht="15" x14ac:dyDescent="0.2">
      <c r="B181" s="48" t="e">
        <f t="shared" si="46"/>
        <v>#REF!</v>
      </c>
      <c r="C181" s="51">
        <v>8</v>
      </c>
      <c r="D181" s="435" t="s">
        <v>247</v>
      </c>
      <c r="E181" s="436"/>
      <c r="F181" s="436"/>
      <c r="G181" s="436"/>
      <c r="H181" s="436"/>
      <c r="I181" s="52">
        <f>I182</f>
        <v>54325</v>
      </c>
      <c r="J181" s="52">
        <f>J182</f>
        <v>0</v>
      </c>
      <c r="K181" s="52">
        <f t="shared" si="47"/>
        <v>54325</v>
      </c>
      <c r="L181" s="53"/>
      <c r="M181" s="52"/>
      <c r="N181" s="52"/>
      <c r="O181" s="52">
        <f t="shared" si="48"/>
        <v>0</v>
      </c>
      <c r="P181" s="54"/>
      <c r="Q181" s="72">
        <f t="shared" si="43"/>
        <v>54325</v>
      </c>
      <c r="R181" s="72">
        <f t="shared" si="44"/>
        <v>0</v>
      </c>
      <c r="S181" s="72">
        <f t="shared" si="45"/>
        <v>54325</v>
      </c>
    </row>
    <row r="182" spans="2:19" x14ac:dyDescent="0.2">
      <c r="B182" s="48" t="e">
        <f t="shared" si="46"/>
        <v>#REF!</v>
      </c>
      <c r="C182" s="9"/>
      <c r="D182" s="9"/>
      <c r="E182" s="9"/>
      <c r="F182" s="61" t="s">
        <v>74</v>
      </c>
      <c r="G182" s="8">
        <v>630</v>
      </c>
      <c r="H182" s="9" t="s">
        <v>122</v>
      </c>
      <c r="I182" s="62">
        <f>I184+I183</f>
        <v>54325</v>
      </c>
      <c r="J182" s="62">
        <f>J184+J183</f>
        <v>0</v>
      </c>
      <c r="K182" s="62">
        <f t="shared" si="47"/>
        <v>54325</v>
      </c>
      <c r="L182" s="62"/>
      <c r="M182" s="62"/>
      <c r="N182" s="62"/>
      <c r="O182" s="62">
        <f t="shared" si="48"/>
        <v>0</v>
      </c>
      <c r="P182" s="63"/>
      <c r="Q182" s="64">
        <f t="shared" si="43"/>
        <v>54325</v>
      </c>
      <c r="R182" s="64">
        <f t="shared" si="44"/>
        <v>0</v>
      </c>
      <c r="S182" s="64">
        <f t="shared" si="45"/>
        <v>54325</v>
      </c>
    </row>
    <row r="183" spans="2:19" x14ac:dyDescent="0.2">
      <c r="B183" s="48" t="e">
        <f t="shared" si="46"/>
        <v>#REF!</v>
      </c>
      <c r="C183" s="11"/>
      <c r="D183" s="11"/>
      <c r="E183" s="11"/>
      <c r="F183" s="65"/>
      <c r="G183" s="10">
        <v>634</v>
      </c>
      <c r="H183" s="11" t="s">
        <v>133</v>
      </c>
      <c r="I183" s="66">
        <f>51500+500+600+870</f>
        <v>53470</v>
      </c>
      <c r="J183" s="66"/>
      <c r="K183" s="66">
        <f t="shared" si="47"/>
        <v>53470</v>
      </c>
      <c r="L183" s="66"/>
      <c r="M183" s="66"/>
      <c r="N183" s="66"/>
      <c r="O183" s="66">
        <f t="shared" si="48"/>
        <v>0</v>
      </c>
      <c r="P183" s="67"/>
      <c r="Q183" s="68">
        <f t="shared" si="43"/>
        <v>53470</v>
      </c>
      <c r="R183" s="68">
        <f t="shared" si="44"/>
        <v>0</v>
      </c>
      <c r="S183" s="68">
        <f t="shared" si="45"/>
        <v>53470</v>
      </c>
    </row>
    <row r="184" spans="2:19" x14ac:dyDescent="0.2">
      <c r="B184" s="116" t="e">
        <f t="shared" si="46"/>
        <v>#REF!</v>
      </c>
      <c r="C184" s="117"/>
      <c r="D184" s="117"/>
      <c r="E184" s="117"/>
      <c r="F184" s="118"/>
      <c r="G184" s="119">
        <v>637</v>
      </c>
      <c r="H184" s="117" t="s">
        <v>123</v>
      </c>
      <c r="I184" s="120">
        <f>800+55</f>
        <v>855</v>
      </c>
      <c r="J184" s="120"/>
      <c r="K184" s="120">
        <f t="shared" si="47"/>
        <v>855</v>
      </c>
      <c r="L184" s="120"/>
      <c r="M184" s="120"/>
      <c r="N184" s="120"/>
      <c r="O184" s="120">
        <f t="shared" si="48"/>
        <v>0</v>
      </c>
      <c r="P184" s="121"/>
      <c r="Q184" s="122">
        <f t="shared" si="43"/>
        <v>855</v>
      </c>
      <c r="R184" s="122">
        <f t="shared" si="44"/>
        <v>0</v>
      </c>
      <c r="S184" s="122">
        <f t="shared" si="45"/>
        <v>855</v>
      </c>
    </row>
    <row r="185" spans="2:19" x14ac:dyDescent="0.2">
      <c r="B185" s="1"/>
      <c r="F185" s="1"/>
      <c r="G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2:19" x14ac:dyDescent="0.2">
      <c r="B186" s="1"/>
      <c r="F186" s="1"/>
      <c r="G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2:19" ht="27.75" x14ac:dyDescent="0.4">
      <c r="B187" s="464" t="s">
        <v>17</v>
      </c>
      <c r="C187" s="465"/>
      <c r="D187" s="465"/>
      <c r="E187" s="465"/>
      <c r="F187" s="465"/>
      <c r="G187" s="465"/>
      <c r="H187" s="465"/>
      <c r="I187" s="465"/>
      <c r="J187" s="465"/>
      <c r="K187" s="465"/>
      <c r="L187" s="465"/>
      <c r="M187" s="465"/>
      <c r="N187" s="465"/>
      <c r="O187" s="466"/>
      <c r="P187" s="466"/>
      <c r="Q187" s="466"/>
    </row>
    <row r="188" spans="2:19" ht="12.75" customHeight="1" x14ac:dyDescent="0.2">
      <c r="B188" s="459" t="s">
        <v>422</v>
      </c>
      <c r="C188" s="459"/>
      <c r="D188" s="459"/>
      <c r="E188" s="459"/>
      <c r="F188" s="459"/>
      <c r="G188" s="459"/>
      <c r="H188" s="459"/>
      <c r="I188" s="459"/>
      <c r="J188" s="459"/>
      <c r="K188" s="459"/>
      <c r="L188" s="459"/>
      <c r="M188" s="459"/>
      <c r="N188" s="459"/>
      <c r="O188" s="459"/>
      <c r="P188" s="390"/>
      <c r="Q188" s="408" t="s">
        <v>595</v>
      </c>
      <c r="R188" s="408" t="s">
        <v>591</v>
      </c>
      <c r="S188" s="408" t="s">
        <v>566</v>
      </c>
    </row>
    <row r="189" spans="2:19" ht="12.75" customHeight="1" x14ac:dyDescent="0.2">
      <c r="B189" s="458"/>
      <c r="C189" s="437" t="s">
        <v>115</v>
      </c>
      <c r="D189" s="437" t="s">
        <v>116</v>
      </c>
      <c r="E189" s="452"/>
      <c r="F189" s="437" t="s">
        <v>117</v>
      </c>
      <c r="G189" s="443" t="s">
        <v>118</v>
      </c>
      <c r="H189" s="449" t="s">
        <v>119</v>
      </c>
      <c r="I189" s="408" t="s">
        <v>593</v>
      </c>
      <c r="J189" s="408" t="s">
        <v>591</v>
      </c>
      <c r="K189" s="408" t="s">
        <v>566</v>
      </c>
      <c r="L189" s="391"/>
      <c r="M189" s="408" t="s">
        <v>594</v>
      </c>
      <c r="N189" s="408" t="s">
        <v>591</v>
      </c>
      <c r="O189" s="408" t="s">
        <v>566</v>
      </c>
      <c r="P189" s="391"/>
      <c r="Q189" s="408"/>
      <c r="R189" s="408"/>
      <c r="S189" s="408"/>
    </row>
    <row r="190" spans="2:19" x14ac:dyDescent="0.2">
      <c r="B190" s="458"/>
      <c r="C190" s="437"/>
      <c r="D190" s="437"/>
      <c r="E190" s="452"/>
      <c r="F190" s="437"/>
      <c r="G190" s="443"/>
      <c r="H190" s="449"/>
      <c r="I190" s="408"/>
      <c r="J190" s="408"/>
      <c r="K190" s="408"/>
      <c r="L190" s="391"/>
      <c r="M190" s="408"/>
      <c r="N190" s="408"/>
      <c r="O190" s="408"/>
      <c r="P190" s="391"/>
      <c r="Q190" s="408"/>
      <c r="R190" s="408"/>
      <c r="S190" s="408"/>
    </row>
    <row r="191" spans="2:19" x14ac:dyDescent="0.2">
      <c r="B191" s="458"/>
      <c r="C191" s="437"/>
      <c r="D191" s="437"/>
      <c r="E191" s="452"/>
      <c r="F191" s="437"/>
      <c r="G191" s="443"/>
      <c r="H191" s="449"/>
      <c r="I191" s="408"/>
      <c r="J191" s="408"/>
      <c r="K191" s="408"/>
      <c r="L191" s="391"/>
      <c r="M191" s="408"/>
      <c r="N191" s="408"/>
      <c r="O191" s="408"/>
      <c r="P191" s="391"/>
      <c r="Q191" s="408"/>
      <c r="R191" s="408"/>
      <c r="S191" s="408"/>
    </row>
    <row r="192" spans="2:19" x14ac:dyDescent="0.2">
      <c r="B192" s="458"/>
      <c r="C192" s="437"/>
      <c r="D192" s="437"/>
      <c r="E192" s="452"/>
      <c r="F192" s="437"/>
      <c r="G192" s="443"/>
      <c r="H192" s="449"/>
      <c r="I192" s="408"/>
      <c r="J192" s="408"/>
      <c r="K192" s="408"/>
      <c r="L192" s="391"/>
      <c r="M192" s="408"/>
      <c r="N192" s="408"/>
      <c r="O192" s="408"/>
      <c r="Q192" s="408"/>
      <c r="R192" s="408"/>
      <c r="S192" s="408"/>
    </row>
    <row r="193" spans="2:19" ht="15.75" x14ac:dyDescent="0.2">
      <c r="B193" s="123">
        <v>1</v>
      </c>
      <c r="C193" s="462" t="s">
        <v>17</v>
      </c>
      <c r="D193" s="463"/>
      <c r="E193" s="463"/>
      <c r="F193" s="463"/>
      <c r="G193" s="463"/>
      <c r="H193" s="463"/>
      <c r="I193" s="124">
        <f>I256+I244+I233+I220+I211+I200+I194</f>
        <v>955055</v>
      </c>
      <c r="J193" s="124">
        <f>J256+J244+J233+J220+J211+J200+J194</f>
        <v>55040</v>
      </c>
      <c r="K193" s="124">
        <f>I193+J193</f>
        <v>1010095</v>
      </c>
      <c r="L193" s="395"/>
      <c r="M193" s="124">
        <f>M256+M244+M233+M220+M211+M200+M194</f>
        <v>310560</v>
      </c>
      <c r="N193" s="124">
        <f>N256+N244+N233+N220+N211+N200+N194</f>
        <v>6500</v>
      </c>
      <c r="O193" s="124">
        <f>M193+N193</f>
        <v>317060</v>
      </c>
      <c r="P193" s="391"/>
      <c r="Q193" s="125">
        <f t="shared" ref="Q193:Q224" si="49">I193+M193</f>
        <v>1265615</v>
      </c>
      <c r="R193" s="125">
        <f t="shared" ref="R193:R224" si="50">J193+N193</f>
        <v>61540</v>
      </c>
      <c r="S193" s="125">
        <f t="shared" ref="S193:S224" si="51">K193+O193</f>
        <v>1327155</v>
      </c>
    </row>
    <row r="194" spans="2:19" ht="15" x14ac:dyDescent="0.2">
      <c r="B194" s="123">
        <f t="shared" ref="B194:B226" si="52">B193+1</f>
        <v>2</v>
      </c>
      <c r="C194" s="126">
        <v>1</v>
      </c>
      <c r="D194" s="460" t="s">
        <v>181</v>
      </c>
      <c r="E194" s="461"/>
      <c r="F194" s="461"/>
      <c r="G194" s="461"/>
      <c r="H194" s="461"/>
      <c r="I194" s="127">
        <f>I195+I196+I197</f>
        <v>46970</v>
      </c>
      <c r="J194" s="127">
        <f>J195+J196+J197</f>
        <v>0</v>
      </c>
      <c r="K194" s="127">
        <f t="shared" ref="K194:K258" si="53">I194+J194</f>
        <v>46970</v>
      </c>
      <c r="L194" s="128"/>
      <c r="M194" s="127"/>
      <c r="N194" s="127"/>
      <c r="O194" s="127">
        <f t="shared" ref="O194:O258" si="54">M194+N194</f>
        <v>0</v>
      </c>
      <c r="P194" s="129"/>
      <c r="Q194" s="130">
        <f t="shared" si="49"/>
        <v>46970</v>
      </c>
      <c r="R194" s="130">
        <f t="shared" si="50"/>
        <v>0</v>
      </c>
      <c r="S194" s="130">
        <f t="shared" si="51"/>
        <v>46970</v>
      </c>
    </row>
    <row r="195" spans="2:19" x14ac:dyDescent="0.2">
      <c r="B195" s="123">
        <f t="shared" si="52"/>
        <v>3</v>
      </c>
      <c r="C195" s="131"/>
      <c r="D195" s="131"/>
      <c r="E195" s="131"/>
      <c r="F195" s="132" t="s">
        <v>75</v>
      </c>
      <c r="G195" s="133">
        <v>610</v>
      </c>
      <c r="H195" s="131" t="s">
        <v>132</v>
      </c>
      <c r="I195" s="134">
        <v>1000</v>
      </c>
      <c r="J195" s="134"/>
      <c r="K195" s="134">
        <f t="shared" si="53"/>
        <v>1000</v>
      </c>
      <c r="L195" s="134"/>
      <c r="M195" s="134"/>
      <c r="N195" s="134"/>
      <c r="O195" s="134">
        <f t="shared" si="54"/>
        <v>0</v>
      </c>
      <c r="P195" s="135"/>
      <c r="Q195" s="136">
        <f t="shared" si="49"/>
        <v>1000</v>
      </c>
      <c r="R195" s="136">
        <f t="shared" si="50"/>
        <v>0</v>
      </c>
      <c r="S195" s="136">
        <f t="shared" si="51"/>
        <v>1000</v>
      </c>
    </row>
    <row r="196" spans="2:19" x14ac:dyDescent="0.2">
      <c r="B196" s="123">
        <f t="shared" si="52"/>
        <v>4</v>
      </c>
      <c r="C196" s="131"/>
      <c r="D196" s="131"/>
      <c r="E196" s="131"/>
      <c r="F196" s="132" t="s">
        <v>75</v>
      </c>
      <c r="G196" s="133">
        <v>620</v>
      </c>
      <c r="H196" s="131" t="s">
        <v>125</v>
      </c>
      <c r="I196" s="134">
        <v>7970</v>
      </c>
      <c r="J196" s="134"/>
      <c r="K196" s="134">
        <f t="shared" si="53"/>
        <v>7970</v>
      </c>
      <c r="L196" s="134"/>
      <c r="M196" s="134"/>
      <c r="N196" s="134"/>
      <c r="O196" s="134">
        <f t="shared" si="54"/>
        <v>0</v>
      </c>
      <c r="P196" s="135"/>
      <c r="Q196" s="136">
        <f t="shared" si="49"/>
        <v>7970</v>
      </c>
      <c r="R196" s="136">
        <f t="shared" si="50"/>
        <v>0</v>
      </c>
      <c r="S196" s="136">
        <f t="shared" si="51"/>
        <v>7970</v>
      </c>
    </row>
    <row r="197" spans="2:19" x14ac:dyDescent="0.2">
      <c r="B197" s="123">
        <f t="shared" si="52"/>
        <v>5</v>
      </c>
      <c r="C197" s="131"/>
      <c r="D197" s="131"/>
      <c r="E197" s="131"/>
      <c r="F197" s="132" t="s">
        <v>75</v>
      </c>
      <c r="G197" s="133">
        <v>630</v>
      </c>
      <c r="H197" s="131" t="s">
        <v>122</v>
      </c>
      <c r="I197" s="134">
        <f>I198+I199</f>
        <v>38000</v>
      </c>
      <c r="J197" s="134">
        <f>J198+J199</f>
        <v>0</v>
      </c>
      <c r="K197" s="134">
        <f t="shared" si="53"/>
        <v>38000</v>
      </c>
      <c r="L197" s="134"/>
      <c r="M197" s="134"/>
      <c r="N197" s="134"/>
      <c r="O197" s="134">
        <f t="shared" si="54"/>
        <v>0</v>
      </c>
      <c r="P197" s="135"/>
      <c r="Q197" s="136">
        <f t="shared" si="49"/>
        <v>38000</v>
      </c>
      <c r="R197" s="136">
        <f t="shared" si="50"/>
        <v>0</v>
      </c>
      <c r="S197" s="136">
        <f t="shared" si="51"/>
        <v>38000</v>
      </c>
    </row>
    <row r="198" spans="2:19" x14ac:dyDescent="0.2">
      <c r="B198" s="123">
        <f t="shared" si="52"/>
        <v>6</v>
      </c>
      <c r="C198" s="137"/>
      <c r="D198" s="137"/>
      <c r="E198" s="137"/>
      <c r="F198" s="138"/>
      <c r="G198" s="139">
        <v>633</v>
      </c>
      <c r="H198" s="137" t="s">
        <v>126</v>
      </c>
      <c r="I198" s="140">
        <v>5500</v>
      </c>
      <c r="J198" s="140"/>
      <c r="K198" s="140">
        <f t="shared" si="53"/>
        <v>5500</v>
      </c>
      <c r="L198" s="140"/>
      <c r="M198" s="140"/>
      <c r="N198" s="140"/>
      <c r="O198" s="140">
        <f t="shared" si="54"/>
        <v>0</v>
      </c>
      <c r="P198" s="141"/>
      <c r="Q198" s="142">
        <f t="shared" si="49"/>
        <v>5500</v>
      </c>
      <c r="R198" s="142">
        <f t="shared" si="50"/>
        <v>0</v>
      </c>
      <c r="S198" s="142">
        <f t="shared" si="51"/>
        <v>5500</v>
      </c>
    </row>
    <row r="199" spans="2:19" x14ac:dyDescent="0.2">
      <c r="B199" s="123">
        <f t="shared" si="52"/>
        <v>7</v>
      </c>
      <c r="C199" s="137"/>
      <c r="D199" s="137"/>
      <c r="E199" s="137"/>
      <c r="F199" s="138"/>
      <c r="G199" s="139">
        <v>637</v>
      </c>
      <c r="H199" s="137" t="s">
        <v>123</v>
      </c>
      <c r="I199" s="140">
        <v>32500</v>
      </c>
      <c r="J199" s="140"/>
      <c r="K199" s="140">
        <f t="shared" si="53"/>
        <v>32500</v>
      </c>
      <c r="L199" s="140"/>
      <c r="M199" s="140"/>
      <c r="N199" s="140"/>
      <c r="O199" s="140">
        <f t="shared" si="54"/>
        <v>0</v>
      </c>
      <c r="P199" s="141"/>
      <c r="Q199" s="142">
        <f t="shared" si="49"/>
        <v>32500</v>
      </c>
      <c r="R199" s="142">
        <f t="shared" si="50"/>
        <v>0</v>
      </c>
      <c r="S199" s="142">
        <f t="shared" si="51"/>
        <v>32500</v>
      </c>
    </row>
    <row r="200" spans="2:19" ht="15" x14ac:dyDescent="0.2">
      <c r="B200" s="123">
        <f t="shared" si="52"/>
        <v>8</v>
      </c>
      <c r="C200" s="126">
        <v>2</v>
      </c>
      <c r="D200" s="460" t="s">
        <v>185</v>
      </c>
      <c r="E200" s="461"/>
      <c r="F200" s="461"/>
      <c r="G200" s="461"/>
      <c r="H200" s="461"/>
      <c r="I200" s="127">
        <f>I201+I202+I203+I209</f>
        <v>157075</v>
      </c>
      <c r="J200" s="127">
        <f>J201+J202+J203+J209+J210</f>
        <v>55040</v>
      </c>
      <c r="K200" s="127">
        <f t="shared" si="53"/>
        <v>212115</v>
      </c>
      <c r="L200" s="128"/>
      <c r="M200" s="127"/>
      <c r="N200" s="127"/>
      <c r="O200" s="127">
        <f t="shared" si="54"/>
        <v>0</v>
      </c>
      <c r="P200" s="129"/>
      <c r="Q200" s="130">
        <f t="shared" si="49"/>
        <v>157075</v>
      </c>
      <c r="R200" s="130">
        <f t="shared" si="50"/>
        <v>55040</v>
      </c>
      <c r="S200" s="130">
        <f t="shared" si="51"/>
        <v>212115</v>
      </c>
    </row>
    <row r="201" spans="2:19" x14ac:dyDescent="0.2">
      <c r="B201" s="123">
        <f t="shared" si="52"/>
        <v>9</v>
      </c>
      <c r="C201" s="131"/>
      <c r="D201" s="131"/>
      <c r="E201" s="131"/>
      <c r="F201" s="132" t="s">
        <v>184</v>
      </c>
      <c r="G201" s="133">
        <v>610</v>
      </c>
      <c r="H201" s="131" t="s">
        <v>132</v>
      </c>
      <c r="I201" s="134">
        <f>64400+11000+15000</f>
        <v>90400</v>
      </c>
      <c r="J201" s="134">
        <v>8000</v>
      </c>
      <c r="K201" s="134">
        <f t="shared" si="53"/>
        <v>98400</v>
      </c>
      <c r="L201" s="134"/>
      <c r="M201" s="134"/>
      <c r="N201" s="134"/>
      <c r="O201" s="134">
        <f t="shared" si="54"/>
        <v>0</v>
      </c>
      <c r="P201" s="135"/>
      <c r="Q201" s="136">
        <f t="shared" si="49"/>
        <v>90400</v>
      </c>
      <c r="R201" s="136">
        <f t="shared" si="50"/>
        <v>8000</v>
      </c>
      <c r="S201" s="136">
        <f t="shared" si="51"/>
        <v>98400</v>
      </c>
    </row>
    <row r="202" spans="2:19" x14ac:dyDescent="0.2">
      <c r="B202" s="123">
        <f t="shared" si="52"/>
        <v>10</v>
      </c>
      <c r="C202" s="131"/>
      <c r="D202" s="131"/>
      <c r="E202" s="131"/>
      <c r="F202" s="132" t="s">
        <v>184</v>
      </c>
      <c r="G202" s="133">
        <v>620</v>
      </c>
      <c r="H202" s="131" t="s">
        <v>125</v>
      </c>
      <c r="I202" s="134">
        <f>9000+2500+2500+9900+1000+2600+2000+4400+2500</f>
        <v>36400</v>
      </c>
      <c r="J202" s="134">
        <v>3000</v>
      </c>
      <c r="K202" s="134">
        <f t="shared" si="53"/>
        <v>39400</v>
      </c>
      <c r="L202" s="134"/>
      <c r="M202" s="134"/>
      <c r="N202" s="134"/>
      <c r="O202" s="134">
        <f t="shared" si="54"/>
        <v>0</v>
      </c>
      <c r="P202" s="135"/>
      <c r="Q202" s="136">
        <f t="shared" si="49"/>
        <v>36400</v>
      </c>
      <c r="R202" s="136">
        <f t="shared" si="50"/>
        <v>3000</v>
      </c>
      <c r="S202" s="136">
        <f t="shared" si="51"/>
        <v>39400</v>
      </c>
    </row>
    <row r="203" spans="2:19" x14ac:dyDescent="0.2">
      <c r="B203" s="123">
        <f t="shared" si="52"/>
        <v>11</v>
      </c>
      <c r="C203" s="131"/>
      <c r="D203" s="131"/>
      <c r="E203" s="131"/>
      <c r="F203" s="132" t="s">
        <v>184</v>
      </c>
      <c r="G203" s="133">
        <v>630</v>
      </c>
      <c r="H203" s="131" t="s">
        <v>122</v>
      </c>
      <c r="I203" s="134">
        <f>I208+I207+I206+I205+I204</f>
        <v>24575</v>
      </c>
      <c r="J203" s="134">
        <f>J208+J207+J206+J205+J204</f>
        <v>11322</v>
      </c>
      <c r="K203" s="134">
        <f t="shared" si="53"/>
        <v>35897</v>
      </c>
      <c r="L203" s="134"/>
      <c r="M203" s="134"/>
      <c r="N203" s="134"/>
      <c r="O203" s="134">
        <f t="shared" si="54"/>
        <v>0</v>
      </c>
      <c r="P203" s="135"/>
      <c r="Q203" s="136">
        <f t="shared" si="49"/>
        <v>24575</v>
      </c>
      <c r="R203" s="136">
        <f t="shared" si="50"/>
        <v>11322</v>
      </c>
      <c r="S203" s="136">
        <f t="shared" si="51"/>
        <v>35897</v>
      </c>
    </row>
    <row r="204" spans="2:19" x14ac:dyDescent="0.2">
      <c r="B204" s="123">
        <f t="shared" si="52"/>
        <v>12</v>
      </c>
      <c r="C204" s="137"/>
      <c r="D204" s="137"/>
      <c r="E204" s="137"/>
      <c r="F204" s="138"/>
      <c r="G204" s="139">
        <v>631</v>
      </c>
      <c r="H204" s="137" t="s">
        <v>128</v>
      </c>
      <c r="I204" s="140">
        <f>300</f>
        <v>300</v>
      </c>
      <c r="J204" s="140"/>
      <c r="K204" s="140">
        <f t="shared" si="53"/>
        <v>300</v>
      </c>
      <c r="L204" s="140"/>
      <c r="M204" s="140"/>
      <c r="N204" s="140"/>
      <c r="O204" s="140">
        <f t="shared" si="54"/>
        <v>0</v>
      </c>
      <c r="P204" s="141"/>
      <c r="Q204" s="142">
        <f t="shared" si="49"/>
        <v>300</v>
      </c>
      <c r="R204" s="142">
        <f t="shared" si="50"/>
        <v>0</v>
      </c>
      <c r="S204" s="142">
        <f t="shared" si="51"/>
        <v>300</v>
      </c>
    </row>
    <row r="205" spans="2:19" x14ac:dyDescent="0.2">
      <c r="B205" s="123">
        <f t="shared" si="52"/>
        <v>13</v>
      </c>
      <c r="C205" s="137"/>
      <c r="D205" s="137"/>
      <c r="E205" s="137"/>
      <c r="F205" s="138"/>
      <c r="G205" s="139">
        <v>632</v>
      </c>
      <c r="H205" s="137" t="s">
        <v>135</v>
      </c>
      <c r="I205" s="140">
        <v>4000</v>
      </c>
      <c r="J205" s="140">
        <v>1000</v>
      </c>
      <c r="K205" s="140">
        <f t="shared" si="53"/>
        <v>5000</v>
      </c>
      <c r="L205" s="140"/>
      <c r="M205" s="140"/>
      <c r="N205" s="140"/>
      <c r="O205" s="140">
        <f t="shared" si="54"/>
        <v>0</v>
      </c>
      <c r="P205" s="141"/>
      <c r="Q205" s="142">
        <f t="shared" si="49"/>
        <v>4000</v>
      </c>
      <c r="R205" s="142">
        <f t="shared" si="50"/>
        <v>1000</v>
      </c>
      <c r="S205" s="142">
        <f t="shared" si="51"/>
        <v>5000</v>
      </c>
    </row>
    <row r="206" spans="2:19" x14ac:dyDescent="0.2">
      <c r="B206" s="123">
        <f t="shared" si="52"/>
        <v>14</v>
      </c>
      <c r="C206" s="137"/>
      <c r="D206" s="137"/>
      <c r="E206" s="137"/>
      <c r="F206" s="138"/>
      <c r="G206" s="139">
        <v>633</v>
      </c>
      <c r="H206" s="137" t="s">
        <v>126</v>
      </c>
      <c r="I206" s="140">
        <v>7000</v>
      </c>
      <c r="J206" s="140">
        <v>5000</v>
      </c>
      <c r="K206" s="140">
        <f t="shared" si="53"/>
        <v>12000</v>
      </c>
      <c r="L206" s="140"/>
      <c r="M206" s="140"/>
      <c r="N206" s="140"/>
      <c r="O206" s="140">
        <f t="shared" si="54"/>
        <v>0</v>
      </c>
      <c r="P206" s="141"/>
      <c r="Q206" s="142">
        <f t="shared" si="49"/>
        <v>7000</v>
      </c>
      <c r="R206" s="142">
        <f t="shared" si="50"/>
        <v>5000</v>
      </c>
      <c r="S206" s="142">
        <f t="shared" si="51"/>
        <v>12000</v>
      </c>
    </row>
    <row r="207" spans="2:19" x14ac:dyDescent="0.2">
      <c r="B207" s="123">
        <f t="shared" si="52"/>
        <v>15</v>
      </c>
      <c r="C207" s="137"/>
      <c r="D207" s="137"/>
      <c r="E207" s="137"/>
      <c r="F207" s="138"/>
      <c r="G207" s="139">
        <v>635</v>
      </c>
      <c r="H207" s="137" t="s">
        <v>134</v>
      </c>
      <c r="I207" s="140">
        <v>300</v>
      </c>
      <c r="J207" s="140"/>
      <c r="K207" s="140">
        <f t="shared" si="53"/>
        <v>300</v>
      </c>
      <c r="L207" s="140"/>
      <c r="M207" s="140"/>
      <c r="N207" s="140"/>
      <c r="O207" s="140">
        <f t="shared" si="54"/>
        <v>0</v>
      </c>
      <c r="P207" s="141"/>
      <c r="Q207" s="142">
        <f t="shared" si="49"/>
        <v>300</v>
      </c>
      <c r="R207" s="142">
        <f t="shared" si="50"/>
        <v>0</v>
      </c>
      <c r="S207" s="142">
        <f t="shared" si="51"/>
        <v>300</v>
      </c>
    </row>
    <row r="208" spans="2:19" x14ac:dyDescent="0.2">
      <c r="B208" s="123">
        <f t="shared" si="52"/>
        <v>16</v>
      </c>
      <c r="C208" s="137"/>
      <c r="D208" s="137"/>
      <c r="E208" s="137"/>
      <c r="F208" s="138"/>
      <c r="G208" s="139">
        <v>637</v>
      </c>
      <c r="H208" s="137" t="s">
        <v>123</v>
      </c>
      <c r="I208" s="140">
        <f>2000+1000+1375+3000+1600+4000</f>
        <v>12975</v>
      </c>
      <c r="J208" s="140">
        <v>5322</v>
      </c>
      <c r="K208" s="140">
        <f t="shared" si="53"/>
        <v>18297</v>
      </c>
      <c r="L208" s="140"/>
      <c r="M208" s="140"/>
      <c r="N208" s="140"/>
      <c r="O208" s="140">
        <f t="shared" si="54"/>
        <v>0</v>
      </c>
      <c r="P208" s="141"/>
      <c r="Q208" s="142">
        <f t="shared" si="49"/>
        <v>12975</v>
      </c>
      <c r="R208" s="142">
        <f t="shared" si="50"/>
        <v>5322</v>
      </c>
      <c r="S208" s="142">
        <f t="shared" si="51"/>
        <v>18297</v>
      </c>
    </row>
    <row r="209" spans="2:19" x14ac:dyDescent="0.2">
      <c r="B209" s="123">
        <f t="shared" si="52"/>
        <v>17</v>
      </c>
      <c r="C209" s="131"/>
      <c r="D209" s="131"/>
      <c r="E209" s="131"/>
      <c r="F209" s="132" t="s">
        <v>184</v>
      </c>
      <c r="G209" s="133">
        <v>640</v>
      </c>
      <c r="H209" s="131" t="s">
        <v>130</v>
      </c>
      <c r="I209" s="134">
        <v>5700</v>
      </c>
      <c r="J209" s="134">
        <v>1000</v>
      </c>
      <c r="K209" s="134">
        <f t="shared" si="53"/>
        <v>6700</v>
      </c>
      <c r="L209" s="134"/>
      <c r="M209" s="134"/>
      <c r="N209" s="134"/>
      <c r="O209" s="134">
        <f t="shared" si="54"/>
        <v>0</v>
      </c>
      <c r="P209" s="135"/>
      <c r="Q209" s="136">
        <f t="shared" si="49"/>
        <v>5700</v>
      </c>
      <c r="R209" s="136">
        <f t="shared" si="50"/>
        <v>1000</v>
      </c>
      <c r="S209" s="136">
        <f t="shared" si="51"/>
        <v>6700</v>
      </c>
    </row>
    <row r="210" spans="2:19" x14ac:dyDescent="0.2">
      <c r="B210" s="123">
        <f t="shared" si="52"/>
        <v>18</v>
      </c>
      <c r="C210" s="131"/>
      <c r="D210" s="131"/>
      <c r="E210" s="131"/>
      <c r="F210" s="132"/>
      <c r="G210" s="133">
        <v>637</v>
      </c>
      <c r="H210" s="131" t="s">
        <v>602</v>
      </c>
      <c r="I210" s="134">
        <v>0</v>
      </c>
      <c r="J210" s="134">
        <v>31718</v>
      </c>
      <c r="K210" s="134">
        <f t="shared" si="53"/>
        <v>31718</v>
      </c>
      <c r="L210" s="134"/>
      <c r="M210" s="134"/>
      <c r="N210" s="134"/>
      <c r="O210" s="134"/>
      <c r="P210" s="135"/>
      <c r="Q210" s="136">
        <f t="shared" si="49"/>
        <v>0</v>
      </c>
      <c r="R210" s="136">
        <f t="shared" si="50"/>
        <v>31718</v>
      </c>
      <c r="S210" s="136">
        <f t="shared" si="51"/>
        <v>31718</v>
      </c>
    </row>
    <row r="211" spans="2:19" ht="15" x14ac:dyDescent="0.2">
      <c r="B211" s="123">
        <f t="shared" si="52"/>
        <v>19</v>
      </c>
      <c r="C211" s="126">
        <v>3</v>
      </c>
      <c r="D211" s="460" t="s">
        <v>171</v>
      </c>
      <c r="E211" s="461"/>
      <c r="F211" s="461"/>
      <c r="G211" s="461"/>
      <c r="H211" s="461"/>
      <c r="I211" s="127">
        <f>I212+I213+I214+I219</f>
        <v>330000</v>
      </c>
      <c r="J211" s="127">
        <f>J212+J213+J214+J219</f>
        <v>0</v>
      </c>
      <c r="K211" s="127">
        <f t="shared" si="53"/>
        <v>330000</v>
      </c>
      <c r="L211" s="128"/>
      <c r="M211" s="127"/>
      <c r="N211" s="127"/>
      <c r="O211" s="127">
        <f t="shared" si="54"/>
        <v>0</v>
      </c>
      <c r="P211" s="129"/>
      <c r="Q211" s="130">
        <f t="shared" si="49"/>
        <v>330000</v>
      </c>
      <c r="R211" s="130">
        <f t="shared" si="50"/>
        <v>0</v>
      </c>
      <c r="S211" s="130">
        <f t="shared" si="51"/>
        <v>330000</v>
      </c>
    </row>
    <row r="212" spans="2:19" x14ac:dyDescent="0.2">
      <c r="B212" s="123">
        <f t="shared" si="52"/>
        <v>20</v>
      </c>
      <c r="C212" s="131"/>
      <c r="D212" s="131"/>
      <c r="E212" s="131"/>
      <c r="F212" s="132" t="s">
        <v>74</v>
      </c>
      <c r="G212" s="133">
        <v>610</v>
      </c>
      <c r="H212" s="131" t="s">
        <v>132</v>
      </c>
      <c r="I212" s="134">
        <v>222000</v>
      </c>
      <c r="J212" s="134"/>
      <c r="K212" s="134">
        <f t="shared" si="53"/>
        <v>222000</v>
      </c>
      <c r="L212" s="134"/>
      <c r="M212" s="134"/>
      <c r="N212" s="134"/>
      <c r="O212" s="134">
        <f t="shared" si="54"/>
        <v>0</v>
      </c>
      <c r="P212" s="135"/>
      <c r="Q212" s="136">
        <f t="shared" si="49"/>
        <v>222000</v>
      </c>
      <c r="R212" s="136">
        <f t="shared" si="50"/>
        <v>0</v>
      </c>
      <c r="S212" s="136">
        <f t="shared" si="51"/>
        <v>222000</v>
      </c>
    </row>
    <row r="213" spans="2:19" x14ac:dyDescent="0.2">
      <c r="B213" s="123">
        <f t="shared" si="52"/>
        <v>21</v>
      </c>
      <c r="C213" s="131"/>
      <c r="D213" s="131"/>
      <c r="E213" s="131"/>
      <c r="F213" s="132" t="s">
        <v>74</v>
      </c>
      <c r="G213" s="133">
        <v>620</v>
      </c>
      <c r="H213" s="131" t="s">
        <v>125</v>
      </c>
      <c r="I213" s="134">
        <v>83000</v>
      </c>
      <c r="J213" s="134"/>
      <c r="K213" s="134">
        <f t="shared" si="53"/>
        <v>83000</v>
      </c>
      <c r="L213" s="134"/>
      <c r="M213" s="134"/>
      <c r="N213" s="134"/>
      <c r="O213" s="134">
        <f t="shared" si="54"/>
        <v>0</v>
      </c>
      <c r="P213" s="135"/>
      <c r="Q213" s="136">
        <f t="shared" si="49"/>
        <v>83000</v>
      </c>
      <c r="R213" s="136">
        <f t="shared" si="50"/>
        <v>0</v>
      </c>
      <c r="S213" s="136">
        <f t="shared" si="51"/>
        <v>83000</v>
      </c>
    </row>
    <row r="214" spans="2:19" x14ac:dyDescent="0.2">
      <c r="B214" s="123">
        <f t="shared" si="52"/>
        <v>22</v>
      </c>
      <c r="C214" s="131"/>
      <c r="D214" s="131"/>
      <c r="E214" s="131"/>
      <c r="F214" s="132" t="s">
        <v>74</v>
      </c>
      <c r="G214" s="133">
        <v>630</v>
      </c>
      <c r="H214" s="131" t="s">
        <v>122</v>
      </c>
      <c r="I214" s="134">
        <f>I218+I217+I216+I215</f>
        <v>14600</v>
      </c>
      <c r="J214" s="134">
        <f>J218+J217+J216+J215</f>
        <v>0</v>
      </c>
      <c r="K214" s="134">
        <f t="shared" si="53"/>
        <v>14600</v>
      </c>
      <c r="L214" s="134"/>
      <c r="M214" s="134"/>
      <c r="N214" s="134"/>
      <c r="O214" s="134">
        <f t="shared" si="54"/>
        <v>0</v>
      </c>
      <c r="P214" s="135"/>
      <c r="Q214" s="136">
        <f t="shared" si="49"/>
        <v>14600</v>
      </c>
      <c r="R214" s="136">
        <f t="shared" si="50"/>
        <v>0</v>
      </c>
      <c r="S214" s="136">
        <f t="shared" si="51"/>
        <v>14600</v>
      </c>
    </row>
    <row r="215" spans="2:19" s="79" customFormat="1" x14ac:dyDescent="0.2">
      <c r="B215" s="123">
        <f t="shared" si="52"/>
        <v>23</v>
      </c>
      <c r="C215" s="137"/>
      <c r="D215" s="137"/>
      <c r="E215" s="137"/>
      <c r="F215" s="138"/>
      <c r="G215" s="139">
        <v>631</v>
      </c>
      <c r="H215" s="137" t="s">
        <v>128</v>
      </c>
      <c r="I215" s="140">
        <v>100</v>
      </c>
      <c r="J215" s="140"/>
      <c r="K215" s="140">
        <f t="shared" si="53"/>
        <v>100</v>
      </c>
      <c r="L215" s="140"/>
      <c r="M215" s="140"/>
      <c r="N215" s="140"/>
      <c r="O215" s="140">
        <f t="shared" si="54"/>
        <v>0</v>
      </c>
      <c r="P215" s="141"/>
      <c r="Q215" s="142">
        <f t="shared" si="49"/>
        <v>100</v>
      </c>
      <c r="R215" s="142">
        <f t="shared" si="50"/>
        <v>0</v>
      </c>
      <c r="S215" s="142">
        <f t="shared" si="51"/>
        <v>100</v>
      </c>
    </row>
    <row r="216" spans="2:19" s="79" customFormat="1" x14ac:dyDescent="0.2">
      <c r="B216" s="123">
        <f t="shared" si="52"/>
        <v>24</v>
      </c>
      <c r="C216" s="137"/>
      <c r="D216" s="137"/>
      <c r="E216" s="137"/>
      <c r="F216" s="138"/>
      <c r="G216" s="139">
        <v>632</v>
      </c>
      <c r="H216" s="137" t="s">
        <v>135</v>
      </c>
      <c r="I216" s="140">
        <v>2500</v>
      </c>
      <c r="J216" s="140"/>
      <c r="K216" s="140">
        <f t="shared" si="53"/>
        <v>2500</v>
      </c>
      <c r="L216" s="140"/>
      <c r="M216" s="140"/>
      <c r="N216" s="140"/>
      <c r="O216" s="140">
        <f t="shared" si="54"/>
        <v>0</v>
      </c>
      <c r="P216" s="141"/>
      <c r="Q216" s="142">
        <f t="shared" si="49"/>
        <v>2500</v>
      </c>
      <c r="R216" s="142">
        <f t="shared" si="50"/>
        <v>0</v>
      </c>
      <c r="S216" s="142">
        <f t="shared" si="51"/>
        <v>2500</v>
      </c>
    </row>
    <row r="217" spans="2:19" x14ac:dyDescent="0.2">
      <c r="B217" s="123">
        <f t="shared" si="52"/>
        <v>25</v>
      </c>
      <c r="C217" s="137"/>
      <c r="D217" s="137"/>
      <c r="E217" s="137"/>
      <c r="F217" s="138"/>
      <c r="G217" s="139">
        <v>633</v>
      </c>
      <c r="H217" s="137" t="s">
        <v>126</v>
      </c>
      <c r="I217" s="140">
        <v>2500</v>
      </c>
      <c r="J217" s="140"/>
      <c r="K217" s="140">
        <f t="shared" si="53"/>
        <v>2500</v>
      </c>
      <c r="L217" s="140"/>
      <c r="M217" s="140"/>
      <c r="N217" s="140"/>
      <c r="O217" s="140">
        <f t="shared" si="54"/>
        <v>0</v>
      </c>
      <c r="P217" s="141"/>
      <c r="Q217" s="142">
        <f t="shared" si="49"/>
        <v>2500</v>
      </c>
      <c r="R217" s="142">
        <f t="shared" si="50"/>
        <v>0</v>
      </c>
      <c r="S217" s="142">
        <f t="shared" si="51"/>
        <v>2500</v>
      </c>
    </row>
    <row r="218" spans="2:19" x14ac:dyDescent="0.2">
      <c r="B218" s="123">
        <f t="shared" si="52"/>
        <v>26</v>
      </c>
      <c r="C218" s="137"/>
      <c r="D218" s="137"/>
      <c r="E218" s="137"/>
      <c r="F218" s="138"/>
      <c r="G218" s="139">
        <v>637</v>
      </c>
      <c r="H218" s="137" t="s">
        <v>123</v>
      </c>
      <c r="I218" s="140">
        <v>9500</v>
      </c>
      <c r="J218" s="140"/>
      <c r="K218" s="140">
        <f t="shared" si="53"/>
        <v>9500</v>
      </c>
      <c r="L218" s="140"/>
      <c r="M218" s="140"/>
      <c r="N218" s="140"/>
      <c r="O218" s="140">
        <f t="shared" si="54"/>
        <v>0</v>
      </c>
      <c r="P218" s="141"/>
      <c r="Q218" s="142">
        <f t="shared" si="49"/>
        <v>9500</v>
      </c>
      <c r="R218" s="142">
        <f t="shared" si="50"/>
        <v>0</v>
      </c>
      <c r="S218" s="142">
        <f t="shared" si="51"/>
        <v>9500</v>
      </c>
    </row>
    <row r="219" spans="2:19" x14ac:dyDescent="0.2">
      <c r="B219" s="123">
        <f t="shared" si="52"/>
        <v>27</v>
      </c>
      <c r="C219" s="131"/>
      <c r="D219" s="131"/>
      <c r="E219" s="131"/>
      <c r="F219" s="132" t="s">
        <v>74</v>
      </c>
      <c r="G219" s="133">
        <v>640</v>
      </c>
      <c r="H219" s="131" t="s">
        <v>130</v>
      </c>
      <c r="I219" s="134">
        <v>10400</v>
      </c>
      <c r="J219" s="134"/>
      <c r="K219" s="134">
        <f t="shared" si="53"/>
        <v>10400</v>
      </c>
      <c r="L219" s="134"/>
      <c r="M219" s="134"/>
      <c r="N219" s="134"/>
      <c r="O219" s="134">
        <f t="shared" si="54"/>
        <v>0</v>
      </c>
      <c r="P219" s="135"/>
      <c r="Q219" s="136">
        <f t="shared" si="49"/>
        <v>10400</v>
      </c>
      <c r="R219" s="136">
        <f t="shared" si="50"/>
        <v>0</v>
      </c>
      <c r="S219" s="136">
        <f t="shared" si="51"/>
        <v>10400</v>
      </c>
    </row>
    <row r="220" spans="2:19" s="79" customFormat="1" ht="15" x14ac:dyDescent="0.2">
      <c r="B220" s="123">
        <f t="shared" si="52"/>
        <v>28</v>
      </c>
      <c r="C220" s="126">
        <v>4</v>
      </c>
      <c r="D220" s="460" t="s">
        <v>44</v>
      </c>
      <c r="E220" s="461"/>
      <c r="F220" s="461"/>
      <c r="G220" s="461"/>
      <c r="H220" s="461"/>
      <c r="I220" s="127">
        <f>I221</f>
        <v>88925</v>
      </c>
      <c r="J220" s="127">
        <f>J221</f>
        <v>0</v>
      </c>
      <c r="K220" s="127">
        <f t="shared" si="53"/>
        <v>88925</v>
      </c>
      <c r="L220" s="128"/>
      <c r="M220" s="127">
        <f>M221</f>
        <v>5000</v>
      </c>
      <c r="N220" s="127">
        <f>N221</f>
        <v>0</v>
      </c>
      <c r="O220" s="127">
        <f t="shared" si="54"/>
        <v>5000</v>
      </c>
      <c r="P220" s="129"/>
      <c r="Q220" s="130">
        <f t="shared" si="49"/>
        <v>93925</v>
      </c>
      <c r="R220" s="130">
        <f t="shared" si="50"/>
        <v>0</v>
      </c>
      <c r="S220" s="130">
        <f t="shared" si="51"/>
        <v>93925</v>
      </c>
    </row>
    <row r="221" spans="2:19" s="79" customFormat="1" ht="15" x14ac:dyDescent="0.25">
      <c r="B221" s="123">
        <f t="shared" si="52"/>
        <v>29</v>
      </c>
      <c r="C221" s="143"/>
      <c r="D221" s="143"/>
      <c r="E221" s="143">
        <v>2</v>
      </c>
      <c r="F221" s="144"/>
      <c r="G221" s="144"/>
      <c r="H221" s="143" t="s">
        <v>11</v>
      </c>
      <c r="I221" s="145">
        <f>I222+I223+I224+I229</f>
        <v>88925</v>
      </c>
      <c r="J221" s="145">
        <f>J222+J223+J224+J229</f>
        <v>0</v>
      </c>
      <c r="K221" s="145">
        <f t="shared" si="53"/>
        <v>88925</v>
      </c>
      <c r="L221" s="146"/>
      <c r="M221" s="145">
        <f>M230</f>
        <v>5000</v>
      </c>
      <c r="N221" s="145">
        <f>N230</f>
        <v>0</v>
      </c>
      <c r="O221" s="145">
        <f t="shared" si="54"/>
        <v>5000</v>
      </c>
      <c r="P221" s="147"/>
      <c r="Q221" s="148">
        <f t="shared" si="49"/>
        <v>93925</v>
      </c>
      <c r="R221" s="148">
        <f t="shared" si="50"/>
        <v>0</v>
      </c>
      <c r="S221" s="148">
        <f t="shared" si="51"/>
        <v>93925</v>
      </c>
    </row>
    <row r="222" spans="2:19" x14ac:dyDescent="0.2">
      <c r="B222" s="123">
        <f t="shared" si="52"/>
        <v>30</v>
      </c>
      <c r="C222" s="131"/>
      <c r="D222" s="131"/>
      <c r="E222" s="131"/>
      <c r="F222" s="132" t="s">
        <v>154</v>
      </c>
      <c r="G222" s="133">
        <v>610</v>
      </c>
      <c r="H222" s="131" t="s">
        <v>132</v>
      </c>
      <c r="I222" s="134">
        <v>41100</v>
      </c>
      <c r="J222" s="134"/>
      <c r="K222" s="134">
        <f t="shared" si="53"/>
        <v>41100</v>
      </c>
      <c r="L222" s="134"/>
      <c r="M222" s="134"/>
      <c r="N222" s="134"/>
      <c r="O222" s="134">
        <f t="shared" si="54"/>
        <v>0</v>
      </c>
      <c r="P222" s="135"/>
      <c r="Q222" s="136">
        <f t="shared" si="49"/>
        <v>41100</v>
      </c>
      <c r="R222" s="136">
        <f t="shared" si="50"/>
        <v>0</v>
      </c>
      <c r="S222" s="136">
        <f t="shared" si="51"/>
        <v>41100</v>
      </c>
    </row>
    <row r="223" spans="2:19" x14ac:dyDescent="0.2">
      <c r="B223" s="123">
        <f t="shared" si="52"/>
        <v>31</v>
      </c>
      <c r="C223" s="131"/>
      <c r="D223" s="131"/>
      <c r="E223" s="131"/>
      <c r="F223" s="132" t="s">
        <v>154</v>
      </c>
      <c r="G223" s="133">
        <v>620</v>
      </c>
      <c r="H223" s="131" t="s">
        <v>125</v>
      </c>
      <c r="I223" s="134">
        <v>15225</v>
      </c>
      <c r="J223" s="134"/>
      <c r="K223" s="134">
        <f t="shared" si="53"/>
        <v>15225</v>
      </c>
      <c r="L223" s="134"/>
      <c r="M223" s="134"/>
      <c r="N223" s="134"/>
      <c r="O223" s="134">
        <f t="shared" si="54"/>
        <v>0</v>
      </c>
      <c r="P223" s="135"/>
      <c r="Q223" s="136">
        <f t="shared" si="49"/>
        <v>15225</v>
      </c>
      <c r="R223" s="136">
        <f t="shared" si="50"/>
        <v>0</v>
      </c>
      <c r="S223" s="136">
        <f t="shared" si="51"/>
        <v>15225</v>
      </c>
    </row>
    <row r="224" spans="2:19" x14ac:dyDescent="0.2">
      <c r="B224" s="123">
        <f t="shared" si="52"/>
        <v>32</v>
      </c>
      <c r="C224" s="131"/>
      <c r="D224" s="131"/>
      <c r="E224" s="131"/>
      <c r="F224" s="132" t="s">
        <v>154</v>
      </c>
      <c r="G224" s="133">
        <v>630</v>
      </c>
      <c r="H224" s="131" t="s">
        <v>122</v>
      </c>
      <c r="I224" s="134">
        <f>I228+I227+I226+I225</f>
        <v>29800</v>
      </c>
      <c r="J224" s="134">
        <f>J228+J227+J226+J225</f>
        <v>0</v>
      </c>
      <c r="K224" s="134">
        <f t="shared" si="53"/>
        <v>29800</v>
      </c>
      <c r="L224" s="134"/>
      <c r="M224" s="134"/>
      <c r="N224" s="134"/>
      <c r="O224" s="134">
        <f t="shared" si="54"/>
        <v>0</v>
      </c>
      <c r="P224" s="135"/>
      <c r="Q224" s="136">
        <f t="shared" si="49"/>
        <v>29800</v>
      </c>
      <c r="R224" s="136">
        <f t="shared" si="50"/>
        <v>0</v>
      </c>
      <c r="S224" s="136">
        <f t="shared" si="51"/>
        <v>29800</v>
      </c>
    </row>
    <row r="225" spans="2:19" x14ac:dyDescent="0.2">
      <c r="B225" s="123">
        <f t="shared" si="52"/>
        <v>33</v>
      </c>
      <c r="C225" s="137"/>
      <c r="D225" s="137"/>
      <c r="E225" s="137"/>
      <c r="F225" s="138"/>
      <c r="G225" s="139">
        <v>632</v>
      </c>
      <c r="H225" s="137" t="s">
        <v>135</v>
      </c>
      <c r="I225" s="140">
        <f>11500+2500</f>
        <v>14000</v>
      </c>
      <c r="J225" s="140"/>
      <c r="K225" s="140">
        <f t="shared" si="53"/>
        <v>14000</v>
      </c>
      <c r="L225" s="140"/>
      <c r="M225" s="140"/>
      <c r="N225" s="140"/>
      <c r="O225" s="140">
        <f t="shared" si="54"/>
        <v>0</v>
      </c>
      <c r="P225" s="141"/>
      <c r="Q225" s="142">
        <f t="shared" ref="Q225:Q253" si="55">I225+M225</f>
        <v>14000</v>
      </c>
      <c r="R225" s="142">
        <f t="shared" ref="R225:R253" si="56">J225+N225</f>
        <v>0</v>
      </c>
      <c r="S225" s="142">
        <f t="shared" ref="S225:S253" si="57">K225+O225</f>
        <v>14000</v>
      </c>
    </row>
    <row r="226" spans="2:19" x14ac:dyDescent="0.2">
      <c r="B226" s="123">
        <f t="shared" si="52"/>
        <v>34</v>
      </c>
      <c r="C226" s="137"/>
      <c r="D226" s="137"/>
      <c r="E226" s="137"/>
      <c r="F226" s="138"/>
      <c r="G226" s="139">
        <v>633</v>
      </c>
      <c r="H226" s="137" t="s">
        <v>126</v>
      </c>
      <c r="I226" s="140">
        <f>1000+2500+300</f>
        <v>3800</v>
      </c>
      <c r="J226" s="140"/>
      <c r="K226" s="140">
        <f t="shared" si="53"/>
        <v>3800</v>
      </c>
      <c r="L226" s="140"/>
      <c r="M226" s="140"/>
      <c r="N226" s="140"/>
      <c r="O226" s="140">
        <f t="shared" si="54"/>
        <v>0</v>
      </c>
      <c r="P226" s="141"/>
      <c r="Q226" s="142">
        <f t="shared" si="55"/>
        <v>3800</v>
      </c>
      <c r="R226" s="142">
        <f t="shared" si="56"/>
        <v>0</v>
      </c>
      <c r="S226" s="142">
        <f t="shared" si="57"/>
        <v>3800</v>
      </c>
    </row>
    <row r="227" spans="2:19" x14ac:dyDescent="0.2">
      <c r="B227" s="123">
        <f t="shared" ref="B227:B262" si="58">B226+1</f>
        <v>35</v>
      </c>
      <c r="C227" s="137"/>
      <c r="D227" s="137"/>
      <c r="E227" s="137"/>
      <c r="F227" s="138"/>
      <c r="G227" s="139">
        <v>635</v>
      </c>
      <c r="H227" s="137" t="s">
        <v>134</v>
      </c>
      <c r="I227" s="140">
        <f>9500-730</f>
        <v>8770</v>
      </c>
      <c r="J227" s="140"/>
      <c r="K227" s="140">
        <f t="shared" si="53"/>
        <v>8770</v>
      </c>
      <c r="L227" s="140"/>
      <c r="M227" s="140"/>
      <c r="N227" s="140"/>
      <c r="O227" s="140">
        <f t="shared" si="54"/>
        <v>0</v>
      </c>
      <c r="P227" s="141"/>
      <c r="Q227" s="142">
        <f t="shared" si="55"/>
        <v>8770</v>
      </c>
      <c r="R227" s="142">
        <f t="shared" si="56"/>
        <v>0</v>
      </c>
      <c r="S227" s="142">
        <f t="shared" si="57"/>
        <v>8770</v>
      </c>
    </row>
    <row r="228" spans="2:19" x14ac:dyDescent="0.2">
      <c r="B228" s="123">
        <f t="shared" si="58"/>
        <v>36</v>
      </c>
      <c r="C228" s="137"/>
      <c r="D228" s="137"/>
      <c r="E228" s="137"/>
      <c r="F228" s="138"/>
      <c r="G228" s="139">
        <v>637</v>
      </c>
      <c r="H228" s="137" t="s">
        <v>123</v>
      </c>
      <c r="I228" s="140">
        <f>2500+730</f>
        <v>3230</v>
      </c>
      <c r="J228" s="140"/>
      <c r="K228" s="140">
        <f t="shared" si="53"/>
        <v>3230</v>
      </c>
      <c r="L228" s="140"/>
      <c r="M228" s="140"/>
      <c r="N228" s="140"/>
      <c r="O228" s="140">
        <f t="shared" si="54"/>
        <v>0</v>
      </c>
      <c r="P228" s="141"/>
      <c r="Q228" s="142">
        <f t="shared" si="55"/>
        <v>3230</v>
      </c>
      <c r="R228" s="142">
        <f t="shared" si="56"/>
        <v>0</v>
      </c>
      <c r="S228" s="142">
        <f t="shared" si="57"/>
        <v>3230</v>
      </c>
    </row>
    <row r="229" spans="2:19" x14ac:dyDescent="0.2">
      <c r="B229" s="123">
        <f t="shared" si="58"/>
        <v>37</v>
      </c>
      <c r="C229" s="131"/>
      <c r="D229" s="131"/>
      <c r="E229" s="131"/>
      <c r="F229" s="132" t="s">
        <v>154</v>
      </c>
      <c r="G229" s="133">
        <v>640</v>
      </c>
      <c r="H229" s="131" t="s">
        <v>130</v>
      </c>
      <c r="I229" s="134">
        <f>2100+700</f>
        <v>2800</v>
      </c>
      <c r="J229" s="134"/>
      <c r="K229" s="134">
        <f t="shared" si="53"/>
        <v>2800</v>
      </c>
      <c r="L229" s="134"/>
      <c r="M229" s="134"/>
      <c r="N229" s="134"/>
      <c r="O229" s="134">
        <f t="shared" si="54"/>
        <v>0</v>
      </c>
      <c r="P229" s="135"/>
      <c r="Q229" s="136">
        <f t="shared" si="55"/>
        <v>2800</v>
      </c>
      <c r="R229" s="136">
        <f t="shared" si="56"/>
        <v>0</v>
      </c>
      <c r="S229" s="136">
        <f t="shared" si="57"/>
        <v>2800</v>
      </c>
    </row>
    <row r="230" spans="2:19" x14ac:dyDescent="0.2">
      <c r="B230" s="123">
        <f t="shared" si="58"/>
        <v>38</v>
      </c>
      <c r="C230" s="131"/>
      <c r="D230" s="131"/>
      <c r="E230" s="131"/>
      <c r="F230" s="132" t="s">
        <v>154</v>
      </c>
      <c r="G230" s="133">
        <v>710</v>
      </c>
      <c r="H230" s="131" t="s">
        <v>176</v>
      </c>
      <c r="I230" s="134"/>
      <c r="J230" s="134"/>
      <c r="K230" s="134">
        <f t="shared" si="53"/>
        <v>0</v>
      </c>
      <c r="L230" s="134"/>
      <c r="M230" s="134">
        <f>M231</f>
        <v>5000</v>
      </c>
      <c r="N230" s="134">
        <f>N231</f>
        <v>0</v>
      </c>
      <c r="O230" s="134">
        <f t="shared" si="54"/>
        <v>5000</v>
      </c>
      <c r="P230" s="135"/>
      <c r="Q230" s="136">
        <f t="shared" si="55"/>
        <v>5000</v>
      </c>
      <c r="R230" s="136">
        <f t="shared" si="56"/>
        <v>0</v>
      </c>
      <c r="S230" s="136">
        <f t="shared" si="57"/>
        <v>5000</v>
      </c>
    </row>
    <row r="231" spans="2:19" x14ac:dyDescent="0.2">
      <c r="B231" s="123">
        <f t="shared" si="58"/>
        <v>39</v>
      </c>
      <c r="C231" s="149"/>
      <c r="D231" s="149"/>
      <c r="E231" s="149"/>
      <c r="F231" s="150"/>
      <c r="G231" s="139">
        <v>716</v>
      </c>
      <c r="H231" s="137" t="s">
        <v>216</v>
      </c>
      <c r="I231" s="140"/>
      <c r="J231" s="140"/>
      <c r="K231" s="140">
        <f t="shared" si="53"/>
        <v>0</v>
      </c>
      <c r="L231" s="140"/>
      <c r="M231" s="140">
        <f>M232</f>
        <v>5000</v>
      </c>
      <c r="N231" s="140">
        <f>N232</f>
        <v>0</v>
      </c>
      <c r="O231" s="140">
        <f t="shared" si="54"/>
        <v>5000</v>
      </c>
      <c r="P231" s="141"/>
      <c r="Q231" s="142">
        <f t="shared" si="55"/>
        <v>5000</v>
      </c>
      <c r="R231" s="142">
        <f t="shared" si="56"/>
        <v>0</v>
      </c>
      <c r="S231" s="142">
        <f t="shared" si="57"/>
        <v>5000</v>
      </c>
    </row>
    <row r="232" spans="2:19" x14ac:dyDescent="0.2">
      <c r="B232" s="123">
        <f t="shared" si="58"/>
        <v>40</v>
      </c>
      <c r="C232" s="149"/>
      <c r="D232" s="149"/>
      <c r="E232" s="149"/>
      <c r="F232" s="150"/>
      <c r="G232" s="151"/>
      <c r="H232" s="149" t="s">
        <v>508</v>
      </c>
      <c r="I232" s="28"/>
      <c r="J232" s="28"/>
      <c r="K232" s="28">
        <f t="shared" si="53"/>
        <v>0</v>
      </c>
      <c r="L232" s="28"/>
      <c r="M232" s="28">
        <v>5000</v>
      </c>
      <c r="N232" s="28"/>
      <c r="O232" s="28">
        <f t="shared" si="54"/>
        <v>5000</v>
      </c>
      <c r="P232" s="152"/>
      <c r="Q232" s="153">
        <f t="shared" si="55"/>
        <v>5000</v>
      </c>
      <c r="R232" s="153">
        <f t="shared" si="56"/>
        <v>0</v>
      </c>
      <c r="S232" s="153">
        <f t="shared" si="57"/>
        <v>5000</v>
      </c>
    </row>
    <row r="233" spans="2:19" ht="15" x14ac:dyDescent="0.2">
      <c r="B233" s="123">
        <f t="shared" si="58"/>
        <v>41</v>
      </c>
      <c r="C233" s="126">
        <v>5</v>
      </c>
      <c r="D233" s="460" t="s">
        <v>217</v>
      </c>
      <c r="E233" s="461"/>
      <c r="F233" s="461"/>
      <c r="G233" s="461"/>
      <c r="H233" s="461"/>
      <c r="I233" s="127">
        <f>I234</f>
        <v>108000</v>
      </c>
      <c r="J233" s="127">
        <f>J234</f>
        <v>0</v>
      </c>
      <c r="K233" s="127">
        <f t="shared" si="53"/>
        <v>108000</v>
      </c>
      <c r="L233" s="128"/>
      <c r="M233" s="127"/>
      <c r="N233" s="127"/>
      <c r="O233" s="127">
        <f t="shared" si="54"/>
        <v>0</v>
      </c>
      <c r="P233" s="129"/>
      <c r="Q233" s="130">
        <f t="shared" si="55"/>
        <v>108000</v>
      </c>
      <c r="R233" s="130">
        <f t="shared" si="56"/>
        <v>0</v>
      </c>
      <c r="S233" s="130">
        <f t="shared" si="57"/>
        <v>108000</v>
      </c>
    </row>
    <row r="234" spans="2:19" ht="15" x14ac:dyDescent="0.25">
      <c r="B234" s="123">
        <f t="shared" si="58"/>
        <v>42</v>
      </c>
      <c r="C234" s="154"/>
      <c r="D234" s="154"/>
      <c r="E234" s="154">
        <v>2</v>
      </c>
      <c r="F234" s="155"/>
      <c r="G234" s="155"/>
      <c r="H234" s="143" t="s">
        <v>11</v>
      </c>
      <c r="I234" s="156">
        <f>I235+I236+I237+I243</f>
        <v>108000</v>
      </c>
      <c r="J234" s="156">
        <f>J235+J236+J237+J243</f>
        <v>0</v>
      </c>
      <c r="K234" s="156">
        <f t="shared" si="53"/>
        <v>108000</v>
      </c>
      <c r="L234" s="146"/>
      <c r="M234" s="156"/>
      <c r="N234" s="156"/>
      <c r="O234" s="156">
        <f t="shared" si="54"/>
        <v>0</v>
      </c>
      <c r="P234" s="147"/>
      <c r="Q234" s="157">
        <f t="shared" si="55"/>
        <v>108000</v>
      </c>
      <c r="R234" s="157">
        <f t="shared" si="56"/>
        <v>0</v>
      </c>
      <c r="S234" s="157">
        <f t="shared" si="57"/>
        <v>108000</v>
      </c>
    </row>
    <row r="235" spans="2:19" x14ac:dyDescent="0.2">
      <c r="B235" s="123">
        <f t="shared" si="58"/>
        <v>43</v>
      </c>
      <c r="C235" s="131"/>
      <c r="D235" s="131"/>
      <c r="E235" s="131"/>
      <c r="F235" s="132" t="s">
        <v>184</v>
      </c>
      <c r="G235" s="133">
        <v>610</v>
      </c>
      <c r="H235" s="131" t="s">
        <v>132</v>
      </c>
      <c r="I235" s="134">
        <v>29100</v>
      </c>
      <c r="J235" s="134"/>
      <c r="K235" s="134">
        <f t="shared" si="53"/>
        <v>29100</v>
      </c>
      <c r="L235" s="134"/>
      <c r="M235" s="134"/>
      <c r="N235" s="134"/>
      <c r="O235" s="134">
        <f t="shared" si="54"/>
        <v>0</v>
      </c>
      <c r="P235" s="135"/>
      <c r="Q235" s="136">
        <f t="shared" si="55"/>
        <v>29100</v>
      </c>
      <c r="R235" s="136">
        <f t="shared" si="56"/>
        <v>0</v>
      </c>
      <c r="S235" s="136">
        <f t="shared" si="57"/>
        <v>29100</v>
      </c>
    </row>
    <row r="236" spans="2:19" x14ac:dyDescent="0.2">
      <c r="B236" s="123">
        <f t="shared" si="58"/>
        <v>44</v>
      </c>
      <c r="C236" s="131"/>
      <c r="D236" s="131"/>
      <c r="E236" s="131"/>
      <c r="F236" s="132" t="s">
        <v>184</v>
      </c>
      <c r="G236" s="133">
        <v>620</v>
      </c>
      <c r="H236" s="131" t="s">
        <v>125</v>
      </c>
      <c r="I236" s="134">
        <v>12795</v>
      </c>
      <c r="J236" s="134"/>
      <c r="K236" s="134">
        <f t="shared" si="53"/>
        <v>12795</v>
      </c>
      <c r="L236" s="134"/>
      <c r="M236" s="134"/>
      <c r="N236" s="134"/>
      <c r="O236" s="134">
        <f t="shared" si="54"/>
        <v>0</v>
      </c>
      <c r="P236" s="135"/>
      <c r="Q236" s="136">
        <f t="shared" si="55"/>
        <v>12795</v>
      </c>
      <c r="R236" s="136">
        <f t="shared" si="56"/>
        <v>0</v>
      </c>
      <c r="S236" s="136">
        <f t="shared" si="57"/>
        <v>12795</v>
      </c>
    </row>
    <row r="237" spans="2:19" x14ac:dyDescent="0.2">
      <c r="B237" s="123">
        <f t="shared" si="58"/>
        <v>45</v>
      </c>
      <c r="C237" s="131"/>
      <c r="D237" s="131"/>
      <c r="E237" s="131"/>
      <c r="F237" s="132" t="s">
        <v>184</v>
      </c>
      <c r="G237" s="133">
        <v>630</v>
      </c>
      <c r="H237" s="131" t="s">
        <v>122</v>
      </c>
      <c r="I237" s="134">
        <f>I242+I241+I240+I239+I238</f>
        <v>64205</v>
      </c>
      <c r="J237" s="134">
        <f>J242+J241+J240+J239+J238</f>
        <v>0</v>
      </c>
      <c r="K237" s="134">
        <f t="shared" si="53"/>
        <v>64205</v>
      </c>
      <c r="L237" s="134"/>
      <c r="M237" s="134"/>
      <c r="N237" s="134"/>
      <c r="O237" s="134">
        <f t="shared" si="54"/>
        <v>0</v>
      </c>
      <c r="P237" s="135"/>
      <c r="Q237" s="136">
        <f t="shared" si="55"/>
        <v>64205</v>
      </c>
      <c r="R237" s="136">
        <f t="shared" si="56"/>
        <v>0</v>
      </c>
      <c r="S237" s="136">
        <f t="shared" si="57"/>
        <v>64205</v>
      </c>
    </row>
    <row r="238" spans="2:19" x14ac:dyDescent="0.2">
      <c r="B238" s="123">
        <f t="shared" si="58"/>
        <v>46</v>
      </c>
      <c r="C238" s="137"/>
      <c r="D238" s="137"/>
      <c r="E238" s="137"/>
      <c r="F238" s="138"/>
      <c r="G238" s="139">
        <v>632</v>
      </c>
      <c r="H238" s="137" t="s">
        <v>135</v>
      </c>
      <c r="I238" s="140">
        <v>8905</v>
      </c>
      <c r="J238" s="140"/>
      <c r="K238" s="140">
        <f t="shared" si="53"/>
        <v>8905</v>
      </c>
      <c r="L238" s="140"/>
      <c r="M238" s="140"/>
      <c r="N238" s="140"/>
      <c r="O238" s="140">
        <f t="shared" si="54"/>
        <v>0</v>
      </c>
      <c r="P238" s="141"/>
      <c r="Q238" s="142">
        <f t="shared" si="55"/>
        <v>8905</v>
      </c>
      <c r="R238" s="142">
        <f t="shared" si="56"/>
        <v>0</v>
      </c>
      <c r="S238" s="142">
        <f t="shared" si="57"/>
        <v>8905</v>
      </c>
    </row>
    <row r="239" spans="2:19" x14ac:dyDescent="0.2">
      <c r="B239" s="123">
        <f t="shared" si="58"/>
        <v>47</v>
      </c>
      <c r="C239" s="137"/>
      <c r="D239" s="137"/>
      <c r="E239" s="137"/>
      <c r="F239" s="138"/>
      <c r="G239" s="139">
        <v>633</v>
      </c>
      <c r="H239" s="137" t="s">
        <v>126</v>
      </c>
      <c r="I239" s="140">
        <f>1800+21000</f>
        <v>22800</v>
      </c>
      <c r="J239" s="140"/>
      <c r="K239" s="140">
        <f t="shared" si="53"/>
        <v>22800</v>
      </c>
      <c r="L239" s="140"/>
      <c r="M239" s="140"/>
      <c r="N239" s="140"/>
      <c r="O239" s="140">
        <f t="shared" si="54"/>
        <v>0</v>
      </c>
      <c r="P239" s="141"/>
      <c r="Q239" s="142">
        <f t="shared" si="55"/>
        <v>22800</v>
      </c>
      <c r="R239" s="142">
        <f t="shared" si="56"/>
        <v>0</v>
      </c>
      <c r="S239" s="142">
        <f t="shared" si="57"/>
        <v>22800</v>
      </c>
    </row>
    <row r="240" spans="2:19" ht="13.5" customHeight="1" x14ac:dyDescent="0.2">
      <c r="B240" s="123">
        <f t="shared" si="58"/>
        <v>48</v>
      </c>
      <c r="C240" s="137"/>
      <c r="D240" s="137"/>
      <c r="E240" s="137"/>
      <c r="F240" s="138"/>
      <c r="G240" s="139">
        <v>635</v>
      </c>
      <c r="H240" s="137" t="s">
        <v>134</v>
      </c>
      <c r="I240" s="140">
        <f>200+200</f>
        <v>400</v>
      </c>
      <c r="J240" s="140"/>
      <c r="K240" s="140">
        <f t="shared" si="53"/>
        <v>400</v>
      </c>
      <c r="L240" s="140"/>
      <c r="M240" s="140"/>
      <c r="N240" s="140"/>
      <c r="O240" s="140">
        <f t="shared" si="54"/>
        <v>0</v>
      </c>
      <c r="P240" s="141"/>
      <c r="Q240" s="142">
        <f t="shared" si="55"/>
        <v>400</v>
      </c>
      <c r="R240" s="142">
        <f t="shared" si="56"/>
        <v>0</v>
      </c>
      <c r="S240" s="142">
        <f t="shared" si="57"/>
        <v>400</v>
      </c>
    </row>
    <row r="241" spans="2:19" ht="12.75" customHeight="1" x14ac:dyDescent="0.2">
      <c r="B241" s="123">
        <f t="shared" si="58"/>
        <v>49</v>
      </c>
      <c r="C241" s="137"/>
      <c r="D241" s="137"/>
      <c r="E241" s="137"/>
      <c r="F241" s="138"/>
      <c r="G241" s="139">
        <v>636</v>
      </c>
      <c r="H241" s="137" t="s">
        <v>127</v>
      </c>
      <c r="I241" s="140">
        <f>2000+2700</f>
        <v>4700</v>
      </c>
      <c r="J241" s="140"/>
      <c r="K241" s="140">
        <f t="shared" si="53"/>
        <v>4700</v>
      </c>
      <c r="L241" s="140"/>
      <c r="M241" s="140"/>
      <c r="N241" s="140"/>
      <c r="O241" s="140">
        <f t="shared" si="54"/>
        <v>0</v>
      </c>
      <c r="P241" s="141"/>
      <c r="Q241" s="142">
        <f t="shared" si="55"/>
        <v>4700</v>
      </c>
      <c r="R241" s="142">
        <f t="shared" si="56"/>
        <v>0</v>
      </c>
      <c r="S241" s="142">
        <f t="shared" si="57"/>
        <v>4700</v>
      </c>
    </row>
    <row r="242" spans="2:19" x14ac:dyDescent="0.2">
      <c r="B242" s="123">
        <f t="shared" si="58"/>
        <v>50</v>
      </c>
      <c r="C242" s="137"/>
      <c r="D242" s="137"/>
      <c r="E242" s="137"/>
      <c r="F242" s="138"/>
      <c r="G242" s="139">
        <v>637</v>
      </c>
      <c r="H242" s="137" t="s">
        <v>123</v>
      </c>
      <c r="I242" s="140">
        <v>27400</v>
      </c>
      <c r="J242" s="140"/>
      <c r="K242" s="140">
        <f t="shared" si="53"/>
        <v>27400</v>
      </c>
      <c r="L242" s="140"/>
      <c r="M242" s="140"/>
      <c r="N242" s="140"/>
      <c r="O242" s="140">
        <f t="shared" si="54"/>
        <v>0</v>
      </c>
      <c r="P242" s="141"/>
      <c r="Q242" s="142">
        <f t="shared" si="55"/>
        <v>27400</v>
      </c>
      <c r="R242" s="142">
        <f t="shared" si="56"/>
        <v>0</v>
      </c>
      <c r="S242" s="142">
        <f t="shared" si="57"/>
        <v>27400</v>
      </c>
    </row>
    <row r="243" spans="2:19" x14ac:dyDescent="0.2">
      <c r="B243" s="123">
        <f t="shared" si="58"/>
        <v>51</v>
      </c>
      <c r="C243" s="131"/>
      <c r="D243" s="131"/>
      <c r="E243" s="131"/>
      <c r="F243" s="132" t="s">
        <v>184</v>
      </c>
      <c r="G243" s="133">
        <v>640</v>
      </c>
      <c r="H243" s="131" t="s">
        <v>130</v>
      </c>
      <c r="I243" s="134">
        <f>1400+500</f>
        <v>1900</v>
      </c>
      <c r="J243" s="134"/>
      <c r="K243" s="134">
        <f t="shared" si="53"/>
        <v>1900</v>
      </c>
      <c r="L243" s="134"/>
      <c r="M243" s="134"/>
      <c r="N243" s="134"/>
      <c r="O243" s="134">
        <f t="shared" si="54"/>
        <v>0</v>
      </c>
      <c r="P243" s="135"/>
      <c r="Q243" s="136">
        <f t="shared" si="55"/>
        <v>1900</v>
      </c>
      <c r="R243" s="136">
        <f t="shared" si="56"/>
        <v>0</v>
      </c>
      <c r="S243" s="136">
        <f t="shared" si="57"/>
        <v>1900</v>
      </c>
    </row>
    <row r="244" spans="2:19" ht="15" x14ac:dyDescent="0.2">
      <c r="B244" s="123">
        <f t="shared" si="58"/>
        <v>52</v>
      </c>
      <c r="C244" s="126">
        <v>6</v>
      </c>
      <c r="D244" s="460" t="s">
        <v>146</v>
      </c>
      <c r="E244" s="461"/>
      <c r="F244" s="461"/>
      <c r="G244" s="461"/>
      <c r="H244" s="461"/>
      <c r="I244" s="127">
        <f>I245</f>
        <v>222000</v>
      </c>
      <c r="J244" s="127">
        <f>J245</f>
        <v>0</v>
      </c>
      <c r="K244" s="127">
        <f t="shared" si="53"/>
        <v>222000</v>
      </c>
      <c r="L244" s="128"/>
      <c r="M244" s="127">
        <f>M250</f>
        <v>305560</v>
      </c>
      <c r="N244" s="127">
        <f>N250</f>
        <v>6500</v>
      </c>
      <c r="O244" s="127">
        <f t="shared" si="54"/>
        <v>312060</v>
      </c>
      <c r="P244" s="129"/>
      <c r="Q244" s="130">
        <f t="shared" si="55"/>
        <v>527560</v>
      </c>
      <c r="R244" s="130">
        <f t="shared" si="56"/>
        <v>6500</v>
      </c>
      <c r="S244" s="130">
        <f t="shared" si="57"/>
        <v>534060</v>
      </c>
    </row>
    <row r="245" spans="2:19" x14ac:dyDescent="0.2">
      <c r="B245" s="123">
        <f t="shared" si="58"/>
        <v>53</v>
      </c>
      <c r="C245" s="131"/>
      <c r="D245" s="131"/>
      <c r="E245" s="131"/>
      <c r="F245" s="132" t="s">
        <v>145</v>
      </c>
      <c r="G245" s="133">
        <v>630</v>
      </c>
      <c r="H245" s="131" t="s">
        <v>122</v>
      </c>
      <c r="I245" s="134">
        <f>I249+I248+I247+I246</f>
        <v>222000</v>
      </c>
      <c r="J245" s="134">
        <f>J249+J248+J247+J246</f>
        <v>0</v>
      </c>
      <c r="K245" s="134">
        <f t="shared" si="53"/>
        <v>222000</v>
      </c>
      <c r="L245" s="134"/>
      <c r="M245" s="134"/>
      <c r="N245" s="134"/>
      <c r="O245" s="134">
        <f t="shared" si="54"/>
        <v>0</v>
      </c>
      <c r="P245" s="135"/>
      <c r="Q245" s="136">
        <f t="shared" si="55"/>
        <v>222000</v>
      </c>
      <c r="R245" s="136">
        <f t="shared" si="56"/>
        <v>0</v>
      </c>
      <c r="S245" s="136">
        <f t="shared" si="57"/>
        <v>222000</v>
      </c>
    </row>
    <row r="246" spans="2:19" x14ac:dyDescent="0.2">
      <c r="B246" s="123">
        <f t="shared" si="58"/>
        <v>54</v>
      </c>
      <c r="C246" s="137"/>
      <c r="D246" s="137"/>
      <c r="E246" s="137"/>
      <c r="F246" s="138"/>
      <c r="G246" s="139">
        <v>632</v>
      </c>
      <c r="H246" s="137" t="s">
        <v>135</v>
      </c>
      <c r="I246" s="140">
        <v>57000</v>
      </c>
      <c r="J246" s="140"/>
      <c r="K246" s="140">
        <f t="shared" si="53"/>
        <v>57000</v>
      </c>
      <c r="L246" s="140"/>
      <c r="M246" s="140"/>
      <c r="N246" s="140"/>
      <c r="O246" s="140">
        <f t="shared" si="54"/>
        <v>0</v>
      </c>
      <c r="P246" s="141"/>
      <c r="Q246" s="142">
        <f t="shared" si="55"/>
        <v>57000</v>
      </c>
      <c r="R246" s="142">
        <f t="shared" si="56"/>
        <v>0</v>
      </c>
      <c r="S246" s="142">
        <f t="shared" si="57"/>
        <v>57000</v>
      </c>
    </row>
    <row r="247" spans="2:19" x14ac:dyDescent="0.2">
      <c r="B247" s="123">
        <f t="shared" si="58"/>
        <v>55</v>
      </c>
      <c r="C247" s="137"/>
      <c r="D247" s="137"/>
      <c r="E247" s="137"/>
      <c r="F247" s="138"/>
      <c r="G247" s="139">
        <v>633</v>
      </c>
      <c r="H247" s="137" t="s">
        <v>126</v>
      </c>
      <c r="I247" s="140">
        <v>2000</v>
      </c>
      <c r="J247" s="140"/>
      <c r="K247" s="140">
        <f t="shared" si="53"/>
        <v>2000</v>
      </c>
      <c r="L247" s="140"/>
      <c r="M247" s="140"/>
      <c r="N247" s="140"/>
      <c r="O247" s="140">
        <f t="shared" si="54"/>
        <v>0</v>
      </c>
      <c r="P247" s="141"/>
      <c r="Q247" s="142">
        <f t="shared" si="55"/>
        <v>2000</v>
      </c>
      <c r="R247" s="142">
        <f t="shared" si="56"/>
        <v>0</v>
      </c>
      <c r="S247" s="142">
        <f t="shared" si="57"/>
        <v>2000</v>
      </c>
    </row>
    <row r="248" spans="2:19" x14ac:dyDescent="0.2">
      <c r="B248" s="123">
        <f t="shared" si="58"/>
        <v>56</v>
      </c>
      <c r="C248" s="137"/>
      <c r="D248" s="137"/>
      <c r="E248" s="137"/>
      <c r="F248" s="138"/>
      <c r="G248" s="139">
        <v>635</v>
      </c>
      <c r="H248" s="137" t="s">
        <v>134</v>
      </c>
      <c r="I248" s="140">
        <v>20000</v>
      </c>
      <c r="J248" s="140"/>
      <c r="K248" s="140">
        <f t="shared" si="53"/>
        <v>20000</v>
      </c>
      <c r="L248" s="140"/>
      <c r="M248" s="140"/>
      <c r="N248" s="140"/>
      <c r="O248" s="140">
        <f t="shared" si="54"/>
        <v>0</v>
      </c>
      <c r="P248" s="141"/>
      <c r="Q248" s="142">
        <f t="shared" si="55"/>
        <v>20000</v>
      </c>
      <c r="R248" s="142">
        <f t="shared" si="56"/>
        <v>0</v>
      </c>
      <c r="S248" s="142">
        <f t="shared" si="57"/>
        <v>20000</v>
      </c>
    </row>
    <row r="249" spans="2:19" x14ac:dyDescent="0.2">
      <c r="B249" s="123">
        <f t="shared" si="58"/>
        <v>57</v>
      </c>
      <c r="C249" s="137"/>
      <c r="D249" s="137"/>
      <c r="E249" s="137"/>
      <c r="F249" s="138"/>
      <c r="G249" s="139">
        <v>637</v>
      </c>
      <c r="H249" s="137" t="s">
        <v>123</v>
      </c>
      <c r="I249" s="140">
        <v>143000</v>
      </c>
      <c r="J249" s="140"/>
      <c r="K249" s="140">
        <f t="shared" si="53"/>
        <v>143000</v>
      </c>
      <c r="L249" s="140"/>
      <c r="M249" s="140"/>
      <c r="N249" s="140"/>
      <c r="O249" s="140">
        <f t="shared" si="54"/>
        <v>0</v>
      </c>
      <c r="P249" s="141"/>
      <c r="Q249" s="142">
        <f t="shared" si="55"/>
        <v>143000</v>
      </c>
      <c r="R249" s="142">
        <f t="shared" si="56"/>
        <v>0</v>
      </c>
      <c r="S249" s="142">
        <f t="shared" si="57"/>
        <v>143000</v>
      </c>
    </row>
    <row r="250" spans="2:19" x14ac:dyDescent="0.2">
      <c r="B250" s="123">
        <f t="shared" si="58"/>
        <v>58</v>
      </c>
      <c r="C250" s="131"/>
      <c r="D250" s="131"/>
      <c r="E250" s="131"/>
      <c r="F250" s="132" t="s">
        <v>145</v>
      </c>
      <c r="G250" s="133">
        <v>710</v>
      </c>
      <c r="H250" s="131" t="s">
        <v>176</v>
      </c>
      <c r="I250" s="134"/>
      <c r="J250" s="134"/>
      <c r="K250" s="134">
        <f t="shared" si="53"/>
        <v>0</v>
      </c>
      <c r="L250" s="134"/>
      <c r="M250" s="134">
        <f>M251+M253</f>
        <v>305560</v>
      </c>
      <c r="N250" s="134">
        <f>N251+N253</f>
        <v>6500</v>
      </c>
      <c r="O250" s="134">
        <f t="shared" si="54"/>
        <v>312060</v>
      </c>
      <c r="P250" s="135"/>
      <c r="Q250" s="136">
        <f t="shared" si="55"/>
        <v>305560</v>
      </c>
      <c r="R250" s="136">
        <f t="shared" si="56"/>
        <v>6500</v>
      </c>
      <c r="S250" s="136">
        <f t="shared" si="57"/>
        <v>312060</v>
      </c>
    </row>
    <row r="251" spans="2:19" x14ac:dyDescent="0.2">
      <c r="B251" s="123">
        <f t="shared" si="58"/>
        <v>59</v>
      </c>
      <c r="C251" s="137"/>
      <c r="D251" s="137"/>
      <c r="E251" s="137"/>
      <c r="F251" s="138"/>
      <c r="G251" s="139">
        <v>716</v>
      </c>
      <c r="H251" s="137" t="s">
        <v>216</v>
      </c>
      <c r="I251" s="140"/>
      <c r="J251" s="140"/>
      <c r="K251" s="140">
        <f t="shared" si="53"/>
        <v>0</v>
      </c>
      <c r="L251" s="140"/>
      <c r="M251" s="140">
        <f>SUM(M252:M252)</f>
        <v>138060</v>
      </c>
      <c r="N251" s="140">
        <f>SUM(N252:N252)</f>
        <v>0</v>
      </c>
      <c r="O251" s="140">
        <f t="shared" si="54"/>
        <v>138060</v>
      </c>
      <c r="P251" s="141"/>
      <c r="Q251" s="142">
        <f t="shared" si="55"/>
        <v>138060</v>
      </c>
      <c r="R251" s="142">
        <f t="shared" si="56"/>
        <v>0</v>
      </c>
      <c r="S251" s="142">
        <f t="shared" si="57"/>
        <v>138060</v>
      </c>
    </row>
    <row r="252" spans="2:19" x14ac:dyDescent="0.2">
      <c r="B252" s="123">
        <f t="shared" si="58"/>
        <v>60</v>
      </c>
      <c r="C252" s="149"/>
      <c r="D252" s="149"/>
      <c r="E252" s="149"/>
      <c r="F252" s="151"/>
      <c r="G252" s="151"/>
      <c r="H252" s="149" t="s">
        <v>398</v>
      </c>
      <c r="I252" s="28"/>
      <c r="J252" s="28"/>
      <c r="K252" s="28">
        <f t="shared" si="53"/>
        <v>0</v>
      </c>
      <c r="L252" s="28"/>
      <c r="M252" s="28">
        <v>138060</v>
      </c>
      <c r="N252" s="28"/>
      <c r="O252" s="28">
        <f t="shared" si="54"/>
        <v>138060</v>
      </c>
      <c r="P252" s="152"/>
      <c r="Q252" s="153">
        <f t="shared" si="55"/>
        <v>138060</v>
      </c>
      <c r="R252" s="153">
        <f t="shared" si="56"/>
        <v>0</v>
      </c>
      <c r="S252" s="153">
        <f t="shared" si="57"/>
        <v>138060</v>
      </c>
    </row>
    <row r="253" spans="2:19" x14ac:dyDescent="0.2">
      <c r="B253" s="123">
        <f t="shared" si="58"/>
        <v>61</v>
      </c>
      <c r="C253" s="137"/>
      <c r="D253" s="137"/>
      <c r="E253" s="137"/>
      <c r="F253" s="138"/>
      <c r="G253" s="139">
        <v>717</v>
      </c>
      <c r="H253" s="137" t="s">
        <v>183</v>
      </c>
      <c r="I253" s="140"/>
      <c r="J253" s="140"/>
      <c r="K253" s="140">
        <f t="shared" si="53"/>
        <v>0</v>
      </c>
      <c r="L253" s="140"/>
      <c r="M253" s="140">
        <f>SUM(M254:M255)</f>
        <v>167500</v>
      </c>
      <c r="N253" s="140">
        <f>SUM(N254:N255)</f>
        <v>6500</v>
      </c>
      <c r="O253" s="140">
        <f t="shared" si="54"/>
        <v>174000</v>
      </c>
      <c r="P253" s="141"/>
      <c r="Q253" s="142">
        <f t="shared" si="55"/>
        <v>167500</v>
      </c>
      <c r="R253" s="142">
        <f t="shared" si="56"/>
        <v>6500</v>
      </c>
      <c r="S253" s="142">
        <f t="shared" si="57"/>
        <v>174000</v>
      </c>
    </row>
    <row r="254" spans="2:19" x14ac:dyDescent="0.2">
      <c r="B254" s="123">
        <f t="shared" si="58"/>
        <v>62</v>
      </c>
      <c r="C254" s="149"/>
      <c r="D254" s="149"/>
      <c r="E254" s="149"/>
      <c r="F254" s="151"/>
      <c r="G254" s="151"/>
      <c r="H254" s="149" t="s">
        <v>540</v>
      </c>
      <c r="I254" s="28"/>
      <c r="J254" s="28"/>
      <c r="K254" s="28">
        <f t="shared" si="53"/>
        <v>0</v>
      </c>
      <c r="L254" s="28"/>
      <c r="M254" s="28">
        <v>112500</v>
      </c>
      <c r="N254" s="28"/>
      <c r="O254" s="28">
        <f t="shared" si="54"/>
        <v>112500</v>
      </c>
      <c r="P254" s="152"/>
      <c r="Q254" s="153">
        <f>M254</f>
        <v>112500</v>
      </c>
      <c r="R254" s="153">
        <f>N254</f>
        <v>0</v>
      </c>
      <c r="S254" s="153">
        <f>O254</f>
        <v>112500</v>
      </c>
    </row>
    <row r="255" spans="2:19" x14ac:dyDescent="0.2">
      <c r="B255" s="123">
        <f t="shared" si="58"/>
        <v>63</v>
      </c>
      <c r="C255" s="149"/>
      <c r="D255" s="149"/>
      <c r="E255" s="149"/>
      <c r="F255" s="151"/>
      <c r="G255" s="151"/>
      <c r="H255" s="149" t="s">
        <v>409</v>
      </c>
      <c r="I255" s="28"/>
      <c r="J255" s="28"/>
      <c r="K255" s="28">
        <f t="shared" si="53"/>
        <v>0</v>
      </c>
      <c r="L255" s="28"/>
      <c r="M255" s="28">
        <v>55000</v>
      </c>
      <c r="N255" s="28">
        <v>6500</v>
      </c>
      <c r="O255" s="28">
        <f t="shared" si="54"/>
        <v>61500</v>
      </c>
      <c r="P255" s="152"/>
      <c r="Q255" s="153">
        <f t="shared" ref="Q255:S262" si="59">I255+M255</f>
        <v>55000</v>
      </c>
      <c r="R255" s="153">
        <f t="shared" si="59"/>
        <v>6500</v>
      </c>
      <c r="S255" s="153">
        <f t="shared" si="59"/>
        <v>61500</v>
      </c>
    </row>
    <row r="256" spans="2:19" ht="15" x14ac:dyDescent="0.2">
      <c r="B256" s="123">
        <f t="shared" si="58"/>
        <v>64</v>
      </c>
      <c r="C256" s="126">
        <v>7</v>
      </c>
      <c r="D256" s="460" t="s">
        <v>42</v>
      </c>
      <c r="E256" s="461"/>
      <c r="F256" s="461"/>
      <c r="G256" s="461"/>
      <c r="H256" s="461"/>
      <c r="I256" s="127">
        <f>I257</f>
        <v>2085</v>
      </c>
      <c r="J256" s="127">
        <f>J257</f>
        <v>0</v>
      </c>
      <c r="K256" s="127">
        <f t="shared" si="53"/>
        <v>2085</v>
      </c>
      <c r="L256" s="128"/>
      <c r="M256" s="127"/>
      <c r="N256" s="127"/>
      <c r="O256" s="127">
        <f t="shared" si="54"/>
        <v>0</v>
      </c>
      <c r="P256" s="129"/>
      <c r="Q256" s="130">
        <f t="shared" si="59"/>
        <v>2085</v>
      </c>
      <c r="R256" s="130">
        <f t="shared" si="59"/>
        <v>0</v>
      </c>
      <c r="S256" s="130">
        <f t="shared" si="59"/>
        <v>2085</v>
      </c>
    </row>
    <row r="257" spans="2:19" ht="15" x14ac:dyDescent="0.25">
      <c r="B257" s="123">
        <f t="shared" si="58"/>
        <v>65</v>
      </c>
      <c r="C257" s="154"/>
      <c r="D257" s="154"/>
      <c r="E257" s="154">
        <v>2</v>
      </c>
      <c r="F257" s="155"/>
      <c r="G257" s="155"/>
      <c r="H257" s="154" t="s">
        <v>11</v>
      </c>
      <c r="I257" s="156">
        <f>I258</f>
        <v>2085</v>
      </c>
      <c r="J257" s="156">
        <f>J258</f>
        <v>0</v>
      </c>
      <c r="K257" s="156">
        <f t="shared" si="53"/>
        <v>2085</v>
      </c>
      <c r="L257" s="146"/>
      <c r="M257" s="156"/>
      <c r="N257" s="156"/>
      <c r="O257" s="156">
        <f t="shared" si="54"/>
        <v>0</v>
      </c>
      <c r="P257" s="147"/>
      <c r="Q257" s="157">
        <f t="shared" si="59"/>
        <v>2085</v>
      </c>
      <c r="R257" s="157">
        <f t="shared" si="59"/>
        <v>0</v>
      </c>
      <c r="S257" s="157">
        <f t="shared" si="59"/>
        <v>2085</v>
      </c>
    </row>
    <row r="258" spans="2:19" x14ac:dyDescent="0.2">
      <c r="B258" s="123">
        <f t="shared" si="58"/>
        <v>66</v>
      </c>
      <c r="C258" s="131"/>
      <c r="D258" s="131"/>
      <c r="E258" s="131"/>
      <c r="F258" s="132" t="s">
        <v>218</v>
      </c>
      <c r="G258" s="133">
        <v>630</v>
      </c>
      <c r="H258" s="131" t="s">
        <v>122</v>
      </c>
      <c r="I258" s="134">
        <f>I262+I261+I260+I259</f>
        <v>2085</v>
      </c>
      <c r="J258" s="134">
        <f>J262+J261+J260+J259</f>
        <v>0</v>
      </c>
      <c r="K258" s="134">
        <f t="shared" si="53"/>
        <v>2085</v>
      </c>
      <c r="L258" s="134"/>
      <c r="M258" s="134"/>
      <c r="N258" s="134"/>
      <c r="O258" s="134">
        <f t="shared" si="54"/>
        <v>0</v>
      </c>
      <c r="P258" s="135"/>
      <c r="Q258" s="136">
        <f t="shared" si="59"/>
        <v>2085</v>
      </c>
      <c r="R258" s="136">
        <f t="shared" si="59"/>
        <v>0</v>
      </c>
      <c r="S258" s="136">
        <f t="shared" si="59"/>
        <v>2085</v>
      </c>
    </row>
    <row r="259" spans="2:19" x14ac:dyDescent="0.2">
      <c r="B259" s="123">
        <f t="shared" si="58"/>
        <v>67</v>
      </c>
      <c r="C259" s="137"/>
      <c r="D259" s="137"/>
      <c r="E259" s="137"/>
      <c r="F259" s="138"/>
      <c r="G259" s="139">
        <v>633</v>
      </c>
      <c r="H259" s="137" t="s">
        <v>126</v>
      </c>
      <c r="I259" s="140">
        <v>550</v>
      </c>
      <c r="J259" s="140"/>
      <c r="K259" s="140">
        <f>I259+J259</f>
        <v>550</v>
      </c>
      <c r="L259" s="140"/>
      <c r="M259" s="140"/>
      <c r="N259" s="140"/>
      <c r="O259" s="140">
        <f>M259+N259</f>
        <v>0</v>
      </c>
      <c r="P259" s="141"/>
      <c r="Q259" s="142">
        <f t="shared" si="59"/>
        <v>550</v>
      </c>
      <c r="R259" s="142">
        <f t="shared" si="59"/>
        <v>0</v>
      </c>
      <c r="S259" s="142">
        <f t="shared" si="59"/>
        <v>550</v>
      </c>
    </row>
    <row r="260" spans="2:19" x14ac:dyDescent="0.2">
      <c r="B260" s="123">
        <f t="shared" si="58"/>
        <v>68</v>
      </c>
      <c r="C260" s="137"/>
      <c r="D260" s="137"/>
      <c r="E260" s="137"/>
      <c r="F260" s="138"/>
      <c r="G260" s="139">
        <v>634</v>
      </c>
      <c r="H260" s="137" t="s">
        <v>133</v>
      </c>
      <c r="I260" s="140">
        <v>350</v>
      </c>
      <c r="J260" s="140"/>
      <c r="K260" s="140">
        <f>I260+J260</f>
        <v>350</v>
      </c>
      <c r="L260" s="140"/>
      <c r="M260" s="140"/>
      <c r="N260" s="140"/>
      <c r="O260" s="140">
        <f>M260+N260</f>
        <v>0</v>
      </c>
      <c r="P260" s="141"/>
      <c r="Q260" s="142">
        <f t="shared" si="59"/>
        <v>350</v>
      </c>
      <c r="R260" s="142">
        <f t="shared" si="59"/>
        <v>0</v>
      </c>
      <c r="S260" s="142">
        <f t="shared" si="59"/>
        <v>350</v>
      </c>
    </row>
    <row r="261" spans="2:19" x14ac:dyDescent="0.2">
      <c r="B261" s="123">
        <f t="shared" si="58"/>
        <v>69</v>
      </c>
      <c r="C261" s="137"/>
      <c r="D261" s="137"/>
      <c r="E261" s="137"/>
      <c r="F261" s="138"/>
      <c r="G261" s="139">
        <v>635</v>
      </c>
      <c r="H261" s="137" t="s">
        <v>134</v>
      </c>
      <c r="I261" s="140">
        <v>985</v>
      </c>
      <c r="J261" s="140"/>
      <c r="K261" s="140">
        <f>I261+J261</f>
        <v>985</v>
      </c>
      <c r="L261" s="140"/>
      <c r="M261" s="140"/>
      <c r="N261" s="140"/>
      <c r="O261" s="140">
        <f>M261+N261</f>
        <v>0</v>
      </c>
      <c r="P261" s="141"/>
      <c r="Q261" s="142">
        <f t="shared" si="59"/>
        <v>985</v>
      </c>
      <c r="R261" s="142">
        <f t="shared" si="59"/>
        <v>0</v>
      </c>
      <c r="S261" s="142">
        <f t="shared" si="59"/>
        <v>985</v>
      </c>
    </row>
    <row r="262" spans="2:19" x14ac:dyDescent="0.2">
      <c r="B262" s="123">
        <f t="shared" si="58"/>
        <v>70</v>
      </c>
      <c r="C262" s="158"/>
      <c r="D262" s="158"/>
      <c r="E262" s="158"/>
      <c r="F262" s="159"/>
      <c r="G262" s="160">
        <v>637</v>
      </c>
      <c r="H262" s="158" t="s">
        <v>123</v>
      </c>
      <c r="I262" s="161">
        <v>200</v>
      </c>
      <c r="J262" s="161"/>
      <c r="K262" s="161">
        <f>I262+J262</f>
        <v>200</v>
      </c>
      <c r="L262" s="161"/>
      <c r="M262" s="161"/>
      <c r="N262" s="161"/>
      <c r="O262" s="161">
        <f>M262+N262</f>
        <v>0</v>
      </c>
      <c r="P262" s="162"/>
      <c r="Q262" s="163">
        <f t="shared" si="59"/>
        <v>200</v>
      </c>
      <c r="R262" s="163">
        <f t="shared" si="59"/>
        <v>0</v>
      </c>
      <c r="S262" s="163">
        <f t="shared" si="59"/>
        <v>200</v>
      </c>
    </row>
    <row r="263" spans="2:19" x14ac:dyDescent="0.2">
      <c r="B263" s="1"/>
      <c r="F263" s="1"/>
      <c r="G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2:19" x14ac:dyDescent="0.2">
      <c r="B264" s="1"/>
      <c r="F264" s="1"/>
      <c r="G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2:19" ht="27.75" x14ac:dyDescent="0.4">
      <c r="B265" s="464" t="s">
        <v>18</v>
      </c>
      <c r="C265" s="465"/>
      <c r="D265" s="465"/>
      <c r="E265" s="465"/>
      <c r="F265" s="465"/>
      <c r="G265" s="465"/>
      <c r="H265" s="465"/>
      <c r="I265" s="465"/>
      <c r="J265" s="465"/>
      <c r="K265" s="465"/>
      <c r="L265" s="465"/>
      <c r="M265" s="465"/>
      <c r="N265" s="465"/>
      <c r="O265" s="466"/>
      <c r="P265" s="466"/>
      <c r="Q265" s="466"/>
    </row>
    <row r="266" spans="2:19" ht="12.75" customHeight="1" x14ac:dyDescent="0.2">
      <c r="B266" s="459" t="s">
        <v>422</v>
      </c>
      <c r="C266" s="459"/>
      <c r="D266" s="459"/>
      <c r="E266" s="459"/>
      <c r="F266" s="459"/>
      <c r="G266" s="459"/>
      <c r="H266" s="459"/>
      <c r="I266" s="459"/>
      <c r="J266" s="459"/>
      <c r="K266" s="459"/>
      <c r="L266" s="459"/>
      <c r="M266" s="459"/>
      <c r="N266" s="459"/>
      <c r="O266" s="459"/>
      <c r="P266" s="390"/>
      <c r="Q266" s="408" t="s">
        <v>595</v>
      </c>
      <c r="R266" s="408" t="s">
        <v>591</v>
      </c>
      <c r="S266" s="408" t="s">
        <v>566</v>
      </c>
    </row>
    <row r="267" spans="2:19" ht="12.75" customHeight="1" x14ac:dyDescent="0.2">
      <c r="B267" s="458"/>
      <c r="C267" s="437" t="s">
        <v>115</v>
      </c>
      <c r="D267" s="437" t="s">
        <v>116</v>
      </c>
      <c r="E267" s="452"/>
      <c r="F267" s="437" t="s">
        <v>117</v>
      </c>
      <c r="G267" s="443" t="s">
        <v>118</v>
      </c>
      <c r="H267" s="449" t="s">
        <v>119</v>
      </c>
      <c r="I267" s="408" t="s">
        <v>593</v>
      </c>
      <c r="J267" s="408" t="s">
        <v>591</v>
      </c>
      <c r="K267" s="408" t="s">
        <v>566</v>
      </c>
      <c r="L267" s="391"/>
      <c r="M267" s="408" t="s">
        <v>594</v>
      </c>
      <c r="N267" s="408" t="s">
        <v>591</v>
      </c>
      <c r="O267" s="408" t="s">
        <v>566</v>
      </c>
      <c r="P267" s="391"/>
      <c r="Q267" s="408"/>
      <c r="R267" s="408"/>
      <c r="S267" s="408"/>
    </row>
    <row r="268" spans="2:19" x14ac:dyDescent="0.2">
      <c r="B268" s="458"/>
      <c r="C268" s="437"/>
      <c r="D268" s="437"/>
      <c r="E268" s="452"/>
      <c r="F268" s="437"/>
      <c r="G268" s="443"/>
      <c r="H268" s="449"/>
      <c r="I268" s="408"/>
      <c r="J268" s="408"/>
      <c r="K268" s="408"/>
      <c r="L268" s="391"/>
      <c r="M268" s="408"/>
      <c r="N268" s="408"/>
      <c r="O268" s="408"/>
      <c r="P268" s="391"/>
      <c r="Q268" s="408"/>
      <c r="R268" s="408"/>
      <c r="S268" s="408"/>
    </row>
    <row r="269" spans="2:19" x14ac:dyDescent="0.2">
      <c r="B269" s="458"/>
      <c r="C269" s="437"/>
      <c r="D269" s="437"/>
      <c r="E269" s="452"/>
      <c r="F269" s="437"/>
      <c r="G269" s="443"/>
      <c r="H269" s="449"/>
      <c r="I269" s="408"/>
      <c r="J269" s="408"/>
      <c r="K269" s="408"/>
      <c r="L269" s="391"/>
      <c r="M269" s="408"/>
      <c r="N269" s="408"/>
      <c r="O269" s="408"/>
      <c r="P269" s="391"/>
      <c r="Q269" s="408"/>
      <c r="R269" s="408"/>
      <c r="S269" s="408"/>
    </row>
    <row r="270" spans="2:19" x14ac:dyDescent="0.2">
      <c r="B270" s="458"/>
      <c r="C270" s="437"/>
      <c r="D270" s="437"/>
      <c r="E270" s="452"/>
      <c r="F270" s="437"/>
      <c r="G270" s="443"/>
      <c r="H270" s="449"/>
      <c r="I270" s="408"/>
      <c r="J270" s="408"/>
      <c r="K270" s="408"/>
      <c r="L270" s="391"/>
      <c r="M270" s="408"/>
      <c r="N270" s="408"/>
      <c r="O270" s="408"/>
      <c r="P270" s="391"/>
      <c r="Q270" s="408"/>
      <c r="R270" s="408"/>
      <c r="S270" s="408"/>
    </row>
    <row r="271" spans="2:19" ht="15.75" x14ac:dyDescent="0.2">
      <c r="B271" s="123">
        <v>1</v>
      </c>
      <c r="C271" s="462" t="s">
        <v>18</v>
      </c>
      <c r="D271" s="463"/>
      <c r="E271" s="463"/>
      <c r="F271" s="463"/>
      <c r="G271" s="463"/>
      <c r="H271" s="463"/>
      <c r="I271" s="124">
        <f>I326+I321+I315+I291+I272</f>
        <v>2675449</v>
      </c>
      <c r="J271" s="124">
        <f>J326+J321+J315+J291+J272</f>
        <v>49550</v>
      </c>
      <c r="K271" s="124">
        <f>I271+J271</f>
        <v>2724999</v>
      </c>
      <c r="L271" s="395"/>
      <c r="M271" s="124">
        <f>M272+M291+M315+M321+M326</f>
        <v>15018400</v>
      </c>
      <c r="N271" s="124">
        <f>N272+N291+N315+N321+N326</f>
        <v>164700</v>
      </c>
      <c r="O271" s="124">
        <f>M271+N271</f>
        <v>15183100</v>
      </c>
      <c r="P271" s="393"/>
      <c r="Q271" s="125">
        <f t="shared" ref="Q271:Q302" si="60">I271+M271</f>
        <v>17693849</v>
      </c>
      <c r="R271" s="125">
        <f t="shared" ref="R271:R302" si="61">J271+N271</f>
        <v>214250</v>
      </c>
      <c r="S271" s="125">
        <f t="shared" ref="S271:S302" si="62">K271+O271</f>
        <v>17908099</v>
      </c>
    </row>
    <row r="272" spans="2:19" ht="15" x14ac:dyDescent="0.2">
      <c r="B272" s="123">
        <f t="shared" ref="B272:B307" si="63">B271+1</f>
        <v>2</v>
      </c>
      <c r="C272" s="126">
        <v>1</v>
      </c>
      <c r="D272" s="460" t="s">
        <v>152</v>
      </c>
      <c r="E272" s="461"/>
      <c r="F272" s="461"/>
      <c r="G272" s="461"/>
      <c r="H272" s="461"/>
      <c r="I272" s="127">
        <f>I273+I274+I275+I283</f>
        <v>1584499</v>
      </c>
      <c r="J272" s="127">
        <f>J273+J274+J275+J283</f>
        <v>49100</v>
      </c>
      <c r="K272" s="127">
        <f t="shared" ref="K272:K334" si="64">I272+J272</f>
        <v>1633599</v>
      </c>
      <c r="L272" s="128"/>
      <c r="M272" s="127">
        <f>M284</f>
        <v>26700</v>
      </c>
      <c r="N272" s="127">
        <f>N284</f>
        <v>44700</v>
      </c>
      <c r="O272" s="127">
        <f t="shared" ref="O272:O334" si="65">M272+N272</f>
        <v>71400</v>
      </c>
      <c r="P272" s="129"/>
      <c r="Q272" s="130">
        <f t="shared" si="60"/>
        <v>1611199</v>
      </c>
      <c r="R272" s="130">
        <f t="shared" si="61"/>
        <v>93800</v>
      </c>
      <c r="S272" s="130">
        <f t="shared" si="62"/>
        <v>1704999</v>
      </c>
    </row>
    <row r="273" spans="2:19" s="103" customFormat="1" x14ac:dyDescent="0.2">
      <c r="B273" s="123">
        <f t="shared" si="63"/>
        <v>3</v>
      </c>
      <c r="C273" s="131"/>
      <c r="D273" s="131"/>
      <c r="E273" s="131"/>
      <c r="F273" s="132" t="s">
        <v>151</v>
      </c>
      <c r="G273" s="133">
        <v>610</v>
      </c>
      <c r="H273" s="131" t="s">
        <v>132</v>
      </c>
      <c r="I273" s="134">
        <f>804000+180000+36000</f>
        <v>1020000</v>
      </c>
      <c r="J273" s="134"/>
      <c r="K273" s="134">
        <f t="shared" si="64"/>
        <v>1020000</v>
      </c>
      <c r="L273" s="134"/>
      <c r="M273" s="134"/>
      <c r="N273" s="134"/>
      <c r="O273" s="134">
        <f t="shared" si="65"/>
        <v>0</v>
      </c>
      <c r="P273" s="135"/>
      <c r="Q273" s="136">
        <f t="shared" si="60"/>
        <v>1020000</v>
      </c>
      <c r="R273" s="136">
        <f t="shared" si="61"/>
        <v>0</v>
      </c>
      <c r="S273" s="136">
        <f t="shared" si="62"/>
        <v>1020000</v>
      </c>
    </row>
    <row r="274" spans="2:19" s="103" customFormat="1" x14ac:dyDescent="0.2">
      <c r="B274" s="123">
        <f t="shared" si="63"/>
        <v>4</v>
      </c>
      <c r="C274" s="131"/>
      <c r="D274" s="131"/>
      <c r="E274" s="131"/>
      <c r="F274" s="132" t="s">
        <v>151</v>
      </c>
      <c r="G274" s="133">
        <v>620</v>
      </c>
      <c r="H274" s="131" t="s">
        <v>125</v>
      </c>
      <c r="I274" s="134">
        <f>102000+20000+9000+104000+7000+19000+7000+35000+21000</f>
        <v>324000</v>
      </c>
      <c r="J274" s="134"/>
      <c r="K274" s="134">
        <f t="shared" si="64"/>
        <v>324000</v>
      </c>
      <c r="L274" s="134"/>
      <c r="M274" s="134"/>
      <c r="N274" s="134"/>
      <c r="O274" s="134">
        <f t="shared" si="65"/>
        <v>0</v>
      </c>
      <c r="P274" s="135"/>
      <c r="Q274" s="136">
        <f t="shared" si="60"/>
        <v>324000</v>
      </c>
      <c r="R274" s="136">
        <f t="shared" si="61"/>
        <v>0</v>
      </c>
      <c r="S274" s="136">
        <f t="shared" si="62"/>
        <v>324000</v>
      </c>
    </row>
    <row r="275" spans="2:19" x14ac:dyDescent="0.2">
      <c r="B275" s="123">
        <f t="shared" si="63"/>
        <v>5</v>
      </c>
      <c r="C275" s="131"/>
      <c r="D275" s="131"/>
      <c r="E275" s="131"/>
      <c r="F275" s="132" t="s">
        <v>151</v>
      </c>
      <c r="G275" s="133">
        <v>630</v>
      </c>
      <c r="H275" s="131" t="s">
        <v>122</v>
      </c>
      <c r="I275" s="134">
        <f>I282+I281+I280+I279+I278+I277+I276</f>
        <v>200339</v>
      </c>
      <c r="J275" s="134">
        <f>J282+J281+J280+J279+J278+J277+J276</f>
        <v>3000</v>
      </c>
      <c r="K275" s="134">
        <f t="shared" si="64"/>
        <v>203339</v>
      </c>
      <c r="L275" s="134"/>
      <c r="M275" s="134"/>
      <c r="N275" s="134"/>
      <c r="O275" s="134">
        <f t="shared" si="65"/>
        <v>0</v>
      </c>
      <c r="P275" s="135"/>
      <c r="Q275" s="136">
        <f t="shared" si="60"/>
        <v>200339</v>
      </c>
      <c r="R275" s="136">
        <f t="shared" si="61"/>
        <v>3000</v>
      </c>
      <c r="S275" s="136">
        <f t="shared" si="62"/>
        <v>203339</v>
      </c>
    </row>
    <row r="276" spans="2:19" x14ac:dyDescent="0.2">
      <c r="B276" s="123">
        <f t="shared" si="63"/>
        <v>6</v>
      </c>
      <c r="C276" s="137"/>
      <c r="D276" s="137"/>
      <c r="E276" s="137"/>
      <c r="F276" s="138"/>
      <c r="G276" s="139">
        <v>631</v>
      </c>
      <c r="H276" s="137" t="s">
        <v>128</v>
      </c>
      <c r="I276" s="140">
        <f>7830+170</f>
        <v>8000</v>
      </c>
      <c r="J276" s="140"/>
      <c r="K276" s="140">
        <f t="shared" si="64"/>
        <v>8000</v>
      </c>
      <c r="L276" s="140"/>
      <c r="M276" s="140"/>
      <c r="N276" s="140"/>
      <c r="O276" s="140">
        <f t="shared" si="65"/>
        <v>0</v>
      </c>
      <c r="P276" s="141"/>
      <c r="Q276" s="142">
        <f t="shared" si="60"/>
        <v>8000</v>
      </c>
      <c r="R276" s="142">
        <f t="shared" si="61"/>
        <v>0</v>
      </c>
      <c r="S276" s="142">
        <f t="shared" si="62"/>
        <v>8000</v>
      </c>
    </row>
    <row r="277" spans="2:19" x14ac:dyDescent="0.2">
      <c r="B277" s="123">
        <f t="shared" si="63"/>
        <v>7</v>
      </c>
      <c r="C277" s="137"/>
      <c r="D277" s="137"/>
      <c r="E277" s="137"/>
      <c r="F277" s="138"/>
      <c r="G277" s="139">
        <v>632</v>
      </c>
      <c r="H277" s="137" t="s">
        <v>135</v>
      </c>
      <c r="I277" s="140">
        <v>43000</v>
      </c>
      <c r="J277" s="140"/>
      <c r="K277" s="140">
        <f t="shared" si="64"/>
        <v>43000</v>
      </c>
      <c r="L277" s="140"/>
      <c r="M277" s="140"/>
      <c r="N277" s="140"/>
      <c r="O277" s="140">
        <f t="shared" si="65"/>
        <v>0</v>
      </c>
      <c r="P277" s="141"/>
      <c r="Q277" s="142">
        <f t="shared" si="60"/>
        <v>43000</v>
      </c>
      <c r="R277" s="142">
        <f t="shared" si="61"/>
        <v>0</v>
      </c>
      <c r="S277" s="142">
        <f t="shared" si="62"/>
        <v>43000</v>
      </c>
    </row>
    <row r="278" spans="2:19" x14ac:dyDescent="0.2">
      <c r="B278" s="123">
        <f t="shared" si="63"/>
        <v>8</v>
      </c>
      <c r="C278" s="137"/>
      <c r="D278" s="137"/>
      <c r="E278" s="137"/>
      <c r="F278" s="138"/>
      <c r="G278" s="139">
        <v>633</v>
      </c>
      <c r="H278" s="137" t="s">
        <v>126</v>
      </c>
      <c r="I278" s="140">
        <v>63500</v>
      </c>
      <c r="J278" s="140">
        <v>3000</v>
      </c>
      <c r="K278" s="140">
        <f t="shared" si="64"/>
        <v>66500</v>
      </c>
      <c r="L278" s="140"/>
      <c r="M278" s="140"/>
      <c r="N278" s="140"/>
      <c r="O278" s="140">
        <f t="shared" si="65"/>
        <v>0</v>
      </c>
      <c r="P278" s="141"/>
      <c r="Q278" s="142">
        <f t="shared" si="60"/>
        <v>63500</v>
      </c>
      <c r="R278" s="142">
        <f t="shared" si="61"/>
        <v>3000</v>
      </c>
      <c r="S278" s="142">
        <f t="shared" si="62"/>
        <v>66500</v>
      </c>
    </row>
    <row r="279" spans="2:19" x14ac:dyDescent="0.2">
      <c r="B279" s="123">
        <f t="shared" si="63"/>
        <v>9</v>
      </c>
      <c r="C279" s="137"/>
      <c r="D279" s="137"/>
      <c r="E279" s="137"/>
      <c r="F279" s="138"/>
      <c r="G279" s="139">
        <v>634</v>
      </c>
      <c r="H279" s="137" t="s">
        <v>133</v>
      </c>
      <c r="I279" s="140">
        <f>26000+10000+5400+180-500-600-870</f>
        <v>39610</v>
      </c>
      <c r="J279" s="140"/>
      <c r="K279" s="140">
        <f t="shared" si="64"/>
        <v>39610</v>
      </c>
      <c r="L279" s="140"/>
      <c r="M279" s="140"/>
      <c r="N279" s="140"/>
      <c r="O279" s="140">
        <f t="shared" si="65"/>
        <v>0</v>
      </c>
      <c r="P279" s="141"/>
      <c r="Q279" s="142">
        <f t="shared" si="60"/>
        <v>39610</v>
      </c>
      <c r="R279" s="142">
        <f t="shared" si="61"/>
        <v>0</v>
      </c>
      <c r="S279" s="142">
        <f t="shared" si="62"/>
        <v>39610</v>
      </c>
    </row>
    <row r="280" spans="2:19" x14ac:dyDescent="0.2">
      <c r="B280" s="123">
        <f t="shared" si="63"/>
        <v>10</v>
      </c>
      <c r="C280" s="137"/>
      <c r="D280" s="137"/>
      <c r="E280" s="137"/>
      <c r="F280" s="138"/>
      <c r="G280" s="139">
        <v>635</v>
      </c>
      <c r="H280" s="137" t="s">
        <v>134</v>
      </c>
      <c r="I280" s="140">
        <f>200+500+200+200+2000+600+10000-7416</f>
        <v>6284</v>
      </c>
      <c r="J280" s="140"/>
      <c r="K280" s="140">
        <f t="shared" si="64"/>
        <v>6284</v>
      </c>
      <c r="L280" s="140"/>
      <c r="M280" s="140"/>
      <c r="N280" s="140"/>
      <c r="O280" s="140">
        <f t="shared" si="65"/>
        <v>0</v>
      </c>
      <c r="P280" s="141"/>
      <c r="Q280" s="142">
        <f t="shared" si="60"/>
        <v>6284</v>
      </c>
      <c r="R280" s="142">
        <f t="shared" si="61"/>
        <v>0</v>
      </c>
      <c r="S280" s="142">
        <f t="shared" si="62"/>
        <v>6284</v>
      </c>
    </row>
    <row r="281" spans="2:19" x14ac:dyDescent="0.2">
      <c r="B281" s="123">
        <f t="shared" si="63"/>
        <v>11</v>
      </c>
      <c r="C281" s="137"/>
      <c r="D281" s="137"/>
      <c r="E281" s="137"/>
      <c r="F281" s="138"/>
      <c r="G281" s="139">
        <v>636</v>
      </c>
      <c r="H281" s="137" t="s">
        <v>127</v>
      </c>
      <c r="I281" s="140">
        <v>2000</v>
      </c>
      <c r="J281" s="140"/>
      <c r="K281" s="140">
        <f t="shared" si="64"/>
        <v>2000</v>
      </c>
      <c r="L281" s="140"/>
      <c r="M281" s="140"/>
      <c r="N281" s="140"/>
      <c r="O281" s="140">
        <f t="shared" si="65"/>
        <v>0</v>
      </c>
      <c r="P281" s="141"/>
      <c r="Q281" s="142">
        <f t="shared" si="60"/>
        <v>2000</v>
      </c>
      <c r="R281" s="142">
        <f t="shared" si="61"/>
        <v>0</v>
      </c>
      <c r="S281" s="142">
        <f t="shared" si="62"/>
        <v>2000</v>
      </c>
    </row>
    <row r="282" spans="2:19" x14ac:dyDescent="0.2">
      <c r="B282" s="123">
        <f t="shared" si="63"/>
        <v>12</v>
      </c>
      <c r="C282" s="137"/>
      <c r="D282" s="137"/>
      <c r="E282" s="137"/>
      <c r="F282" s="138"/>
      <c r="G282" s="139">
        <v>637</v>
      </c>
      <c r="H282" s="137" t="s">
        <v>123</v>
      </c>
      <c r="I282" s="140">
        <f>38000-55</f>
        <v>37945</v>
      </c>
      <c r="J282" s="140"/>
      <c r="K282" s="140">
        <f t="shared" si="64"/>
        <v>37945</v>
      </c>
      <c r="L282" s="140"/>
      <c r="M282" s="140"/>
      <c r="N282" s="140"/>
      <c r="O282" s="140">
        <f t="shared" si="65"/>
        <v>0</v>
      </c>
      <c r="P282" s="141"/>
      <c r="Q282" s="142">
        <f t="shared" si="60"/>
        <v>37945</v>
      </c>
      <c r="R282" s="142">
        <f t="shared" si="61"/>
        <v>0</v>
      </c>
      <c r="S282" s="142">
        <f t="shared" si="62"/>
        <v>37945</v>
      </c>
    </row>
    <row r="283" spans="2:19" x14ac:dyDescent="0.2">
      <c r="B283" s="123">
        <f t="shared" si="63"/>
        <v>13</v>
      </c>
      <c r="C283" s="131"/>
      <c r="D283" s="131"/>
      <c r="E283" s="131"/>
      <c r="F283" s="132" t="s">
        <v>151</v>
      </c>
      <c r="G283" s="133">
        <v>640</v>
      </c>
      <c r="H283" s="131" t="s">
        <v>130</v>
      </c>
      <c r="I283" s="134">
        <f>160+1000+1000+30000+8000</f>
        <v>40160</v>
      </c>
      <c r="J283" s="134">
        <v>46100</v>
      </c>
      <c r="K283" s="134">
        <f t="shared" si="64"/>
        <v>86260</v>
      </c>
      <c r="L283" s="134"/>
      <c r="M283" s="134"/>
      <c r="N283" s="134"/>
      <c r="O283" s="134">
        <f t="shared" si="65"/>
        <v>0</v>
      </c>
      <c r="P283" s="135"/>
      <c r="Q283" s="136">
        <f t="shared" si="60"/>
        <v>40160</v>
      </c>
      <c r="R283" s="136">
        <f t="shared" si="61"/>
        <v>46100</v>
      </c>
      <c r="S283" s="136">
        <f t="shared" si="62"/>
        <v>86260</v>
      </c>
    </row>
    <row r="284" spans="2:19" x14ac:dyDescent="0.2">
      <c r="B284" s="123">
        <f t="shared" si="63"/>
        <v>14</v>
      </c>
      <c r="C284" s="131"/>
      <c r="D284" s="131"/>
      <c r="E284" s="131"/>
      <c r="F284" s="132" t="s">
        <v>151</v>
      </c>
      <c r="G284" s="133">
        <v>710</v>
      </c>
      <c r="H284" s="131" t="s">
        <v>176</v>
      </c>
      <c r="I284" s="134"/>
      <c r="J284" s="134"/>
      <c r="K284" s="134">
        <f t="shared" si="64"/>
        <v>0</v>
      </c>
      <c r="L284" s="134"/>
      <c r="M284" s="134">
        <f>M289</f>
        <v>26700</v>
      </c>
      <c r="N284" s="134">
        <f>N285+N287+N289</f>
        <v>44700</v>
      </c>
      <c r="O284" s="134">
        <f t="shared" si="65"/>
        <v>71400</v>
      </c>
      <c r="P284" s="135"/>
      <c r="Q284" s="136">
        <f t="shared" si="60"/>
        <v>26700</v>
      </c>
      <c r="R284" s="136">
        <f t="shared" si="61"/>
        <v>44700</v>
      </c>
      <c r="S284" s="136">
        <f t="shared" si="62"/>
        <v>71400</v>
      </c>
    </row>
    <row r="285" spans="2:19" x14ac:dyDescent="0.2">
      <c r="B285" s="123">
        <f t="shared" si="63"/>
        <v>15</v>
      </c>
      <c r="C285" s="137"/>
      <c r="D285" s="137"/>
      <c r="E285" s="137"/>
      <c r="F285" s="132"/>
      <c r="G285" s="139">
        <v>713</v>
      </c>
      <c r="H285" s="137" t="s">
        <v>219</v>
      </c>
      <c r="I285" s="140"/>
      <c r="J285" s="140"/>
      <c r="K285" s="140">
        <f t="shared" si="64"/>
        <v>0</v>
      </c>
      <c r="L285" s="140"/>
      <c r="M285" s="140">
        <f>M286</f>
        <v>0</v>
      </c>
      <c r="N285" s="140">
        <f>N286</f>
        <v>3200</v>
      </c>
      <c r="O285" s="140">
        <f t="shared" si="65"/>
        <v>3200</v>
      </c>
      <c r="P285" s="141"/>
      <c r="Q285" s="142">
        <f t="shared" si="60"/>
        <v>0</v>
      </c>
      <c r="R285" s="142">
        <f t="shared" si="61"/>
        <v>3200</v>
      </c>
      <c r="S285" s="142">
        <f t="shared" si="62"/>
        <v>3200</v>
      </c>
    </row>
    <row r="286" spans="2:19" s="164" customFormat="1" x14ac:dyDescent="0.2">
      <c r="B286" s="123">
        <f t="shared" si="63"/>
        <v>16</v>
      </c>
      <c r="C286" s="149"/>
      <c r="D286" s="149"/>
      <c r="E286" s="149"/>
      <c r="F286" s="151"/>
      <c r="G286" s="151"/>
      <c r="H286" s="149" t="s">
        <v>622</v>
      </c>
      <c r="I286" s="28"/>
      <c r="J286" s="28"/>
      <c r="K286" s="28">
        <f t="shared" si="64"/>
        <v>0</v>
      </c>
      <c r="L286" s="28"/>
      <c r="M286" s="28">
        <v>0</v>
      </c>
      <c r="N286" s="28">
        <v>3200</v>
      </c>
      <c r="O286" s="28">
        <f t="shared" si="65"/>
        <v>3200</v>
      </c>
      <c r="P286" s="152"/>
      <c r="Q286" s="153">
        <f t="shared" si="60"/>
        <v>0</v>
      </c>
      <c r="R286" s="153">
        <f t="shared" si="61"/>
        <v>3200</v>
      </c>
      <c r="S286" s="153">
        <f t="shared" si="62"/>
        <v>3200</v>
      </c>
    </row>
    <row r="287" spans="2:19" x14ac:dyDescent="0.2">
      <c r="B287" s="123">
        <f t="shared" si="63"/>
        <v>17</v>
      </c>
      <c r="C287" s="137"/>
      <c r="D287" s="137"/>
      <c r="E287" s="137"/>
      <c r="F287" s="132"/>
      <c r="G287" s="139">
        <v>714</v>
      </c>
      <c r="H287" s="137" t="s">
        <v>177</v>
      </c>
      <c r="I287" s="140"/>
      <c r="J287" s="140"/>
      <c r="K287" s="140">
        <f>I287+J287</f>
        <v>0</v>
      </c>
      <c r="L287" s="140"/>
      <c r="M287" s="140">
        <f>M288</f>
        <v>0</v>
      </c>
      <c r="N287" s="140">
        <f>N288</f>
        <v>37000</v>
      </c>
      <c r="O287" s="140">
        <f>M287+N287</f>
        <v>37000</v>
      </c>
      <c r="P287" s="141"/>
      <c r="Q287" s="142">
        <f t="shared" si="60"/>
        <v>0</v>
      </c>
      <c r="R287" s="142">
        <f t="shared" si="61"/>
        <v>37000</v>
      </c>
      <c r="S287" s="142">
        <f t="shared" si="62"/>
        <v>37000</v>
      </c>
    </row>
    <row r="288" spans="2:19" s="164" customFormat="1" x14ac:dyDescent="0.2">
      <c r="B288" s="123">
        <f t="shared" si="63"/>
        <v>18</v>
      </c>
      <c r="C288" s="149"/>
      <c r="D288" s="149"/>
      <c r="E288" s="149"/>
      <c r="F288" s="151"/>
      <c r="G288" s="151"/>
      <c r="H288" s="149" t="s">
        <v>621</v>
      </c>
      <c r="I288" s="28"/>
      <c r="J288" s="28"/>
      <c r="K288" s="28">
        <f>I288+J288</f>
        <v>0</v>
      </c>
      <c r="L288" s="28"/>
      <c r="M288" s="28">
        <v>0</v>
      </c>
      <c r="N288" s="28">
        <f>40200-3200</f>
        <v>37000</v>
      </c>
      <c r="O288" s="28">
        <f>M288+N288</f>
        <v>37000</v>
      </c>
      <c r="P288" s="152"/>
      <c r="Q288" s="153">
        <f t="shared" si="60"/>
        <v>0</v>
      </c>
      <c r="R288" s="153">
        <f t="shared" si="61"/>
        <v>37000</v>
      </c>
      <c r="S288" s="153">
        <f t="shared" si="62"/>
        <v>37000</v>
      </c>
    </row>
    <row r="289" spans="2:19" x14ac:dyDescent="0.2">
      <c r="B289" s="123">
        <f t="shared" si="63"/>
        <v>19</v>
      </c>
      <c r="C289" s="137"/>
      <c r="D289" s="137"/>
      <c r="E289" s="137"/>
      <c r="F289" s="132"/>
      <c r="G289" s="139">
        <v>717</v>
      </c>
      <c r="H289" s="137" t="s">
        <v>350</v>
      </c>
      <c r="I289" s="140"/>
      <c r="J289" s="140"/>
      <c r="K289" s="140">
        <f t="shared" si="64"/>
        <v>0</v>
      </c>
      <c r="L289" s="140"/>
      <c r="M289" s="140">
        <f>M290</f>
        <v>26700</v>
      </c>
      <c r="N289" s="140">
        <f>N290</f>
        <v>4500</v>
      </c>
      <c r="O289" s="140">
        <f t="shared" si="65"/>
        <v>31200</v>
      </c>
      <c r="P289" s="141"/>
      <c r="Q289" s="142">
        <f t="shared" si="60"/>
        <v>26700</v>
      </c>
      <c r="R289" s="142">
        <f t="shared" si="61"/>
        <v>4500</v>
      </c>
      <c r="S289" s="142">
        <f t="shared" si="62"/>
        <v>31200</v>
      </c>
    </row>
    <row r="290" spans="2:19" s="164" customFormat="1" x14ac:dyDescent="0.2">
      <c r="B290" s="123">
        <f t="shared" si="63"/>
        <v>20</v>
      </c>
      <c r="C290" s="149"/>
      <c r="D290" s="149"/>
      <c r="E290" s="149"/>
      <c r="F290" s="151"/>
      <c r="G290" s="151"/>
      <c r="H290" s="149" t="s">
        <v>430</v>
      </c>
      <c r="I290" s="28"/>
      <c r="J290" s="28"/>
      <c r="K290" s="28">
        <f t="shared" si="64"/>
        <v>0</v>
      </c>
      <c r="L290" s="28"/>
      <c r="M290" s="28">
        <v>26700</v>
      </c>
      <c r="N290" s="28">
        <v>4500</v>
      </c>
      <c r="O290" s="28">
        <f t="shared" si="65"/>
        <v>31200</v>
      </c>
      <c r="P290" s="152"/>
      <c r="Q290" s="153">
        <f t="shared" si="60"/>
        <v>26700</v>
      </c>
      <c r="R290" s="153">
        <f t="shared" si="61"/>
        <v>4500</v>
      </c>
      <c r="S290" s="153">
        <f t="shared" si="62"/>
        <v>31200</v>
      </c>
    </row>
    <row r="291" spans="2:19" s="164" customFormat="1" ht="15" x14ac:dyDescent="0.2">
      <c r="B291" s="123">
        <f t="shared" si="63"/>
        <v>21</v>
      </c>
      <c r="C291" s="126">
        <v>2</v>
      </c>
      <c r="D291" s="460" t="s">
        <v>207</v>
      </c>
      <c r="E291" s="461"/>
      <c r="F291" s="461"/>
      <c r="G291" s="461"/>
      <c r="H291" s="461"/>
      <c r="I291" s="127">
        <f>I300</f>
        <v>987000</v>
      </c>
      <c r="J291" s="127">
        <f>J300</f>
        <v>0</v>
      </c>
      <c r="K291" s="127">
        <f t="shared" si="64"/>
        <v>987000</v>
      </c>
      <c r="L291" s="128"/>
      <c r="M291" s="127">
        <f>M292+M300</f>
        <v>14961700</v>
      </c>
      <c r="N291" s="127">
        <f>N292+N300</f>
        <v>120000</v>
      </c>
      <c r="O291" s="127">
        <f t="shared" si="65"/>
        <v>15081700</v>
      </c>
      <c r="P291" s="129"/>
      <c r="Q291" s="130">
        <f t="shared" si="60"/>
        <v>15948700</v>
      </c>
      <c r="R291" s="130">
        <f t="shared" si="61"/>
        <v>120000</v>
      </c>
      <c r="S291" s="130">
        <f t="shared" si="62"/>
        <v>16068700</v>
      </c>
    </row>
    <row r="292" spans="2:19" x14ac:dyDescent="0.2">
      <c r="B292" s="123">
        <f t="shared" si="63"/>
        <v>22</v>
      </c>
      <c r="C292" s="131"/>
      <c r="D292" s="131"/>
      <c r="E292" s="131"/>
      <c r="F292" s="132" t="s">
        <v>206</v>
      </c>
      <c r="G292" s="133">
        <v>710</v>
      </c>
      <c r="H292" s="131" t="s">
        <v>176</v>
      </c>
      <c r="I292" s="134"/>
      <c r="J292" s="134"/>
      <c r="K292" s="134">
        <f t="shared" si="64"/>
        <v>0</v>
      </c>
      <c r="L292" s="134"/>
      <c r="M292" s="134">
        <f>M293+M298</f>
        <v>14959700</v>
      </c>
      <c r="N292" s="134">
        <f>N293+N298</f>
        <v>0</v>
      </c>
      <c r="O292" s="134">
        <f t="shared" si="65"/>
        <v>14959700</v>
      </c>
      <c r="P292" s="135"/>
      <c r="Q292" s="136">
        <f t="shared" si="60"/>
        <v>14959700</v>
      </c>
      <c r="R292" s="136">
        <f t="shared" si="61"/>
        <v>0</v>
      </c>
      <c r="S292" s="136">
        <f t="shared" si="62"/>
        <v>14959700</v>
      </c>
    </row>
    <row r="293" spans="2:19" s="164" customFormat="1" x14ac:dyDescent="0.2">
      <c r="B293" s="123">
        <f t="shared" si="63"/>
        <v>23</v>
      </c>
      <c r="C293" s="137"/>
      <c r="D293" s="137"/>
      <c r="E293" s="137"/>
      <c r="F293" s="138"/>
      <c r="G293" s="139">
        <v>716</v>
      </c>
      <c r="H293" s="137" t="s">
        <v>216</v>
      </c>
      <c r="I293" s="140"/>
      <c r="J293" s="140"/>
      <c r="K293" s="140">
        <f t="shared" si="64"/>
        <v>0</v>
      </c>
      <c r="L293" s="140"/>
      <c r="M293" s="140">
        <f>SUM(M294:M297)</f>
        <v>157700</v>
      </c>
      <c r="N293" s="140">
        <f>SUM(N294:N297)</f>
        <v>0</v>
      </c>
      <c r="O293" s="140">
        <f t="shared" si="65"/>
        <v>157700</v>
      </c>
      <c r="P293" s="141"/>
      <c r="Q293" s="142">
        <f t="shared" si="60"/>
        <v>157700</v>
      </c>
      <c r="R293" s="142">
        <f t="shared" si="61"/>
        <v>0</v>
      </c>
      <c r="S293" s="142">
        <f t="shared" si="62"/>
        <v>157700</v>
      </c>
    </row>
    <row r="294" spans="2:19" x14ac:dyDescent="0.2">
      <c r="B294" s="123">
        <f t="shared" si="63"/>
        <v>24</v>
      </c>
      <c r="C294" s="137"/>
      <c r="D294" s="137"/>
      <c r="E294" s="137"/>
      <c r="F294" s="138"/>
      <c r="G294" s="139"/>
      <c r="H294" s="149" t="s">
        <v>555</v>
      </c>
      <c r="I294" s="140"/>
      <c r="J294" s="140"/>
      <c r="K294" s="140">
        <f t="shared" si="64"/>
        <v>0</v>
      </c>
      <c r="L294" s="140"/>
      <c r="M294" s="28">
        <v>3500</v>
      </c>
      <c r="N294" s="28"/>
      <c r="O294" s="28">
        <f t="shared" si="65"/>
        <v>3500</v>
      </c>
      <c r="P294" s="141"/>
      <c r="Q294" s="153">
        <f t="shared" si="60"/>
        <v>3500</v>
      </c>
      <c r="R294" s="153">
        <f t="shared" si="61"/>
        <v>0</v>
      </c>
      <c r="S294" s="153">
        <f t="shared" si="62"/>
        <v>3500</v>
      </c>
    </row>
    <row r="295" spans="2:19" x14ac:dyDescent="0.2">
      <c r="B295" s="123">
        <f t="shared" si="63"/>
        <v>25</v>
      </c>
      <c r="C295" s="137"/>
      <c r="D295" s="137"/>
      <c r="E295" s="137"/>
      <c r="F295" s="138"/>
      <c r="G295" s="139"/>
      <c r="H295" s="149" t="s">
        <v>556</v>
      </c>
      <c r="I295" s="140"/>
      <c r="J295" s="140"/>
      <c r="K295" s="140">
        <f t="shared" si="64"/>
        <v>0</v>
      </c>
      <c r="L295" s="140"/>
      <c r="M295" s="28">
        <v>3500</v>
      </c>
      <c r="N295" s="28"/>
      <c r="O295" s="28">
        <f t="shared" si="65"/>
        <v>3500</v>
      </c>
      <c r="P295" s="141"/>
      <c r="Q295" s="153">
        <f t="shared" si="60"/>
        <v>3500</v>
      </c>
      <c r="R295" s="153">
        <f t="shared" si="61"/>
        <v>0</v>
      </c>
      <c r="S295" s="153">
        <f t="shared" si="62"/>
        <v>3500</v>
      </c>
    </row>
    <row r="296" spans="2:19" x14ac:dyDescent="0.2">
      <c r="B296" s="123">
        <f t="shared" si="63"/>
        <v>26</v>
      </c>
      <c r="C296" s="149"/>
      <c r="D296" s="149"/>
      <c r="E296" s="149"/>
      <c r="F296" s="151"/>
      <c r="G296" s="151"/>
      <c r="H296" s="149" t="s">
        <v>431</v>
      </c>
      <c r="I296" s="28"/>
      <c r="J296" s="28"/>
      <c r="K296" s="28">
        <f t="shared" si="64"/>
        <v>0</v>
      </c>
      <c r="L296" s="28"/>
      <c r="M296" s="28">
        <v>2700</v>
      </c>
      <c r="N296" s="28"/>
      <c r="O296" s="28">
        <f t="shared" si="65"/>
        <v>2700</v>
      </c>
      <c r="P296" s="152"/>
      <c r="Q296" s="153">
        <f t="shared" si="60"/>
        <v>2700</v>
      </c>
      <c r="R296" s="153">
        <f t="shared" si="61"/>
        <v>0</v>
      </c>
      <c r="S296" s="153">
        <f t="shared" si="62"/>
        <v>2700</v>
      </c>
    </row>
    <row r="297" spans="2:19" x14ac:dyDescent="0.2">
      <c r="B297" s="123">
        <f t="shared" si="63"/>
        <v>27</v>
      </c>
      <c r="C297" s="149"/>
      <c r="D297" s="149"/>
      <c r="E297" s="149"/>
      <c r="F297" s="151"/>
      <c r="G297" s="151"/>
      <c r="H297" s="149" t="s">
        <v>432</v>
      </c>
      <c r="I297" s="28"/>
      <c r="J297" s="28"/>
      <c r="K297" s="28">
        <f t="shared" si="64"/>
        <v>0</v>
      </c>
      <c r="L297" s="28"/>
      <c r="M297" s="28">
        <v>148000</v>
      </c>
      <c r="N297" s="28"/>
      <c r="O297" s="28">
        <f t="shared" si="65"/>
        <v>148000</v>
      </c>
      <c r="P297" s="152"/>
      <c r="Q297" s="153">
        <f t="shared" si="60"/>
        <v>148000</v>
      </c>
      <c r="R297" s="153">
        <f t="shared" si="61"/>
        <v>0</v>
      </c>
      <c r="S297" s="153">
        <f t="shared" si="62"/>
        <v>148000</v>
      </c>
    </row>
    <row r="298" spans="2:19" x14ac:dyDescent="0.2">
      <c r="B298" s="123">
        <f t="shared" si="63"/>
        <v>28</v>
      </c>
      <c r="C298" s="137"/>
      <c r="D298" s="137"/>
      <c r="E298" s="137"/>
      <c r="F298" s="138"/>
      <c r="G298" s="139">
        <v>717</v>
      </c>
      <c r="H298" s="137" t="s">
        <v>183</v>
      </c>
      <c r="I298" s="140"/>
      <c r="J298" s="140"/>
      <c r="K298" s="140">
        <f t="shared" si="64"/>
        <v>0</v>
      </c>
      <c r="L298" s="140"/>
      <c r="M298" s="140">
        <f>SUM(M299:M299)</f>
        <v>14802000</v>
      </c>
      <c r="N298" s="140">
        <f>SUM(N299:N299)</f>
        <v>0</v>
      </c>
      <c r="O298" s="140">
        <f t="shared" si="65"/>
        <v>14802000</v>
      </c>
      <c r="P298" s="141"/>
      <c r="Q298" s="142">
        <f t="shared" si="60"/>
        <v>14802000</v>
      </c>
      <c r="R298" s="142">
        <f t="shared" si="61"/>
        <v>0</v>
      </c>
      <c r="S298" s="142">
        <f t="shared" si="62"/>
        <v>14802000</v>
      </c>
    </row>
    <row r="299" spans="2:19" x14ac:dyDescent="0.2">
      <c r="B299" s="123">
        <f t="shared" si="63"/>
        <v>29</v>
      </c>
      <c r="C299" s="149"/>
      <c r="D299" s="149"/>
      <c r="E299" s="149"/>
      <c r="F299" s="151"/>
      <c r="G299" s="151"/>
      <c r="H299" s="149" t="s">
        <v>432</v>
      </c>
      <c r="I299" s="28"/>
      <c r="J299" s="28"/>
      <c r="K299" s="28">
        <f t="shared" si="64"/>
        <v>0</v>
      </c>
      <c r="L299" s="28"/>
      <c r="M299" s="28">
        <f>6440000+8362000</f>
        <v>14802000</v>
      </c>
      <c r="N299" s="28"/>
      <c r="O299" s="28">
        <f t="shared" si="65"/>
        <v>14802000</v>
      </c>
      <c r="P299" s="152"/>
      <c r="Q299" s="153">
        <f t="shared" si="60"/>
        <v>14802000</v>
      </c>
      <c r="R299" s="153">
        <f t="shared" si="61"/>
        <v>0</v>
      </c>
      <c r="S299" s="153">
        <f t="shared" si="62"/>
        <v>14802000</v>
      </c>
    </row>
    <row r="300" spans="2:19" ht="15" x14ac:dyDescent="0.25">
      <c r="B300" s="123">
        <f t="shared" si="63"/>
        <v>30</v>
      </c>
      <c r="C300" s="154"/>
      <c r="D300" s="154"/>
      <c r="E300" s="154">
        <v>2</v>
      </c>
      <c r="F300" s="155"/>
      <c r="G300" s="155"/>
      <c r="H300" s="154" t="s">
        <v>11</v>
      </c>
      <c r="I300" s="156">
        <f>I301+I302+I303+I309</f>
        <v>987000</v>
      </c>
      <c r="J300" s="156">
        <f>J301+J302+J303+J309</f>
        <v>0</v>
      </c>
      <c r="K300" s="156">
        <f t="shared" si="64"/>
        <v>987000</v>
      </c>
      <c r="L300" s="146"/>
      <c r="M300" s="156">
        <f>M310</f>
        <v>2000</v>
      </c>
      <c r="N300" s="156">
        <f>N310</f>
        <v>120000</v>
      </c>
      <c r="O300" s="156">
        <f t="shared" si="65"/>
        <v>122000</v>
      </c>
      <c r="P300" s="147"/>
      <c r="Q300" s="157">
        <f t="shared" si="60"/>
        <v>989000</v>
      </c>
      <c r="R300" s="157">
        <f t="shared" si="61"/>
        <v>120000</v>
      </c>
      <c r="S300" s="157">
        <f t="shared" si="62"/>
        <v>1109000</v>
      </c>
    </row>
    <row r="301" spans="2:19" x14ac:dyDescent="0.2">
      <c r="B301" s="123">
        <f t="shared" si="63"/>
        <v>31</v>
      </c>
      <c r="C301" s="131"/>
      <c r="D301" s="131"/>
      <c r="E301" s="131"/>
      <c r="F301" s="132" t="s">
        <v>206</v>
      </c>
      <c r="G301" s="133">
        <v>610</v>
      </c>
      <c r="H301" s="131" t="s">
        <v>132</v>
      </c>
      <c r="I301" s="134">
        <v>68250</v>
      </c>
      <c r="J301" s="134"/>
      <c r="K301" s="134">
        <f t="shared" si="64"/>
        <v>68250</v>
      </c>
      <c r="L301" s="134"/>
      <c r="M301" s="134"/>
      <c r="N301" s="134"/>
      <c r="O301" s="134">
        <f t="shared" si="65"/>
        <v>0</v>
      </c>
      <c r="P301" s="135"/>
      <c r="Q301" s="136">
        <f t="shared" si="60"/>
        <v>68250</v>
      </c>
      <c r="R301" s="136">
        <f t="shared" si="61"/>
        <v>0</v>
      </c>
      <c r="S301" s="136">
        <f t="shared" si="62"/>
        <v>68250</v>
      </c>
    </row>
    <row r="302" spans="2:19" x14ac:dyDescent="0.2">
      <c r="B302" s="123">
        <f t="shared" si="63"/>
        <v>32</v>
      </c>
      <c r="C302" s="131"/>
      <c r="D302" s="131"/>
      <c r="E302" s="131"/>
      <c r="F302" s="132" t="s">
        <v>206</v>
      </c>
      <c r="G302" s="133">
        <v>620</v>
      </c>
      <c r="H302" s="131" t="s">
        <v>125</v>
      </c>
      <c r="I302" s="134">
        <v>28450</v>
      </c>
      <c r="J302" s="134"/>
      <c r="K302" s="134">
        <f t="shared" si="64"/>
        <v>28450</v>
      </c>
      <c r="L302" s="134"/>
      <c r="M302" s="134"/>
      <c r="N302" s="134"/>
      <c r="O302" s="134">
        <f t="shared" si="65"/>
        <v>0</v>
      </c>
      <c r="P302" s="135"/>
      <c r="Q302" s="136">
        <f t="shared" si="60"/>
        <v>28450</v>
      </c>
      <c r="R302" s="136">
        <f t="shared" si="61"/>
        <v>0</v>
      </c>
      <c r="S302" s="136">
        <f t="shared" si="62"/>
        <v>28450</v>
      </c>
    </row>
    <row r="303" spans="2:19" x14ac:dyDescent="0.2">
      <c r="B303" s="123">
        <f t="shared" si="63"/>
        <v>33</v>
      </c>
      <c r="C303" s="131"/>
      <c r="D303" s="131"/>
      <c r="E303" s="131"/>
      <c r="F303" s="132" t="s">
        <v>206</v>
      </c>
      <c r="G303" s="133">
        <v>630</v>
      </c>
      <c r="H303" s="131" t="s">
        <v>122</v>
      </c>
      <c r="I303" s="134">
        <f>I308+I307+I306+I305+I304</f>
        <v>887000</v>
      </c>
      <c r="J303" s="134">
        <f>J308+J307+J306+J305+J304</f>
        <v>0</v>
      </c>
      <c r="K303" s="134">
        <f t="shared" si="64"/>
        <v>887000</v>
      </c>
      <c r="L303" s="134"/>
      <c r="M303" s="134"/>
      <c r="N303" s="134"/>
      <c r="O303" s="134">
        <f t="shared" si="65"/>
        <v>0</v>
      </c>
      <c r="P303" s="135"/>
      <c r="Q303" s="136">
        <f t="shared" ref="Q303:Q334" si="66">I303+M303</f>
        <v>887000</v>
      </c>
      <c r="R303" s="136">
        <f t="shared" ref="R303:R334" si="67">J303+N303</f>
        <v>0</v>
      </c>
      <c r="S303" s="136">
        <f t="shared" ref="S303:S334" si="68">K303+O303</f>
        <v>887000</v>
      </c>
    </row>
    <row r="304" spans="2:19" x14ac:dyDescent="0.2">
      <c r="B304" s="123">
        <f t="shared" si="63"/>
        <v>34</v>
      </c>
      <c r="C304" s="137"/>
      <c r="D304" s="137"/>
      <c r="E304" s="137"/>
      <c r="F304" s="138"/>
      <c r="G304" s="139">
        <v>632</v>
      </c>
      <c r="H304" s="137" t="s">
        <v>135</v>
      </c>
      <c r="I304" s="140">
        <v>780000</v>
      </c>
      <c r="J304" s="140"/>
      <c r="K304" s="140">
        <f t="shared" si="64"/>
        <v>780000</v>
      </c>
      <c r="L304" s="140"/>
      <c r="M304" s="140"/>
      <c r="N304" s="140"/>
      <c r="O304" s="140">
        <f t="shared" si="65"/>
        <v>0</v>
      </c>
      <c r="P304" s="141"/>
      <c r="Q304" s="142">
        <f t="shared" si="66"/>
        <v>780000</v>
      </c>
      <c r="R304" s="142">
        <f t="shared" si="67"/>
        <v>0</v>
      </c>
      <c r="S304" s="142">
        <f t="shared" si="68"/>
        <v>780000</v>
      </c>
    </row>
    <row r="305" spans="2:19" x14ac:dyDescent="0.2">
      <c r="B305" s="123">
        <f t="shared" si="63"/>
        <v>35</v>
      </c>
      <c r="C305" s="137"/>
      <c r="D305" s="137"/>
      <c r="E305" s="137"/>
      <c r="F305" s="138"/>
      <c r="G305" s="139">
        <v>633</v>
      </c>
      <c r="H305" s="137" t="s">
        <v>126</v>
      </c>
      <c r="I305" s="140">
        <v>38000</v>
      </c>
      <c r="J305" s="140"/>
      <c r="K305" s="140">
        <f t="shared" si="64"/>
        <v>38000</v>
      </c>
      <c r="L305" s="140"/>
      <c r="M305" s="140"/>
      <c r="N305" s="140"/>
      <c r="O305" s="140">
        <f t="shared" si="65"/>
        <v>0</v>
      </c>
      <c r="P305" s="141"/>
      <c r="Q305" s="142">
        <f t="shared" si="66"/>
        <v>38000</v>
      </c>
      <c r="R305" s="142">
        <f t="shared" si="67"/>
        <v>0</v>
      </c>
      <c r="S305" s="142">
        <f t="shared" si="68"/>
        <v>38000</v>
      </c>
    </row>
    <row r="306" spans="2:19" x14ac:dyDescent="0.2">
      <c r="B306" s="123">
        <f t="shared" si="63"/>
        <v>36</v>
      </c>
      <c r="C306" s="137"/>
      <c r="D306" s="137"/>
      <c r="E306" s="137"/>
      <c r="F306" s="138"/>
      <c r="G306" s="139">
        <v>634</v>
      </c>
      <c r="H306" s="137" t="s">
        <v>133</v>
      </c>
      <c r="I306" s="140">
        <v>7000</v>
      </c>
      <c r="J306" s="140"/>
      <c r="K306" s="140">
        <f t="shared" si="64"/>
        <v>7000</v>
      </c>
      <c r="L306" s="140"/>
      <c r="M306" s="140"/>
      <c r="N306" s="140"/>
      <c r="O306" s="140">
        <f t="shared" si="65"/>
        <v>0</v>
      </c>
      <c r="P306" s="141"/>
      <c r="Q306" s="142">
        <f t="shared" si="66"/>
        <v>7000</v>
      </c>
      <c r="R306" s="142">
        <f t="shared" si="67"/>
        <v>0</v>
      </c>
      <c r="S306" s="142">
        <f t="shared" si="68"/>
        <v>7000</v>
      </c>
    </row>
    <row r="307" spans="2:19" x14ac:dyDescent="0.2">
      <c r="B307" s="123">
        <f t="shared" si="63"/>
        <v>37</v>
      </c>
      <c r="C307" s="137"/>
      <c r="D307" s="137"/>
      <c r="E307" s="137"/>
      <c r="F307" s="138"/>
      <c r="G307" s="139">
        <v>635</v>
      </c>
      <c r="H307" s="137" t="s">
        <v>134</v>
      </c>
      <c r="I307" s="140">
        <v>20000</v>
      </c>
      <c r="J307" s="140"/>
      <c r="K307" s="140">
        <f t="shared" si="64"/>
        <v>20000</v>
      </c>
      <c r="L307" s="140"/>
      <c r="M307" s="140"/>
      <c r="N307" s="140"/>
      <c r="O307" s="140">
        <f t="shared" si="65"/>
        <v>0</v>
      </c>
      <c r="P307" s="141"/>
      <c r="Q307" s="142">
        <f t="shared" si="66"/>
        <v>20000</v>
      </c>
      <c r="R307" s="142">
        <f t="shared" si="67"/>
        <v>0</v>
      </c>
      <c r="S307" s="142">
        <f t="shared" si="68"/>
        <v>20000</v>
      </c>
    </row>
    <row r="308" spans="2:19" x14ac:dyDescent="0.2">
      <c r="B308" s="123">
        <f t="shared" ref="B308:B334" si="69">B307+1</f>
        <v>38</v>
      </c>
      <c r="C308" s="137"/>
      <c r="D308" s="137"/>
      <c r="E308" s="137"/>
      <c r="F308" s="138"/>
      <c r="G308" s="139">
        <v>637</v>
      </c>
      <c r="H308" s="137" t="s">
        <v>123</v>
      </c>
      <c r="I308" s="140">
        <v>42000</v>
      </c>
      <c r="J308" s="140"/>
      <c r="K308" s="140">
        <f t="shared" si="64"/>
        <v>42000</v>
      </c>
      <c r="L308" s="140"/>
      <c r="M308" s="140"/>
      <c r="N308" s="140"/>
      <c r="O308" s="140">
        <f t="shared" si="65"/>
        <v>0</v>
      </c>
      <c r="P308" s="141"/>
      <c r="Q308" s="142">
        <f t="shared" si="66"/>
        <v>42000</v>
      </c>
      <c r="R308" s="142">
        <f t="shared" si="67"/>
        <v>0</v>
      </c>
      <c r="S308" s="142">
        <f t="shared" si="68"/>
        <v>42000</v>
      </c>
    </row>
    <row r="309" spans="2:19" x14ac:dyDescent="0.2">
      <c r="B309" s="123">
        <f t="shared" si="69"/>
        <v>39</v>
      </c>
      <c r="C309" s="131"/>
      <c r="D309" s="131"/>
      <c r="E309" s="131"/>
      <c r="F309" s="132" t="s">
        <v>206</v>
      </c>
      <c r="G309" s="133">
        <v>640</v>
      </c>
      <c r="H309" s="131" t="s">
        <v>130</v>
      </c>
      <c r="I309" s="134">
        <v>3300</v>
      </c>
      <c r="J309" s="134"/>
      <c r="K309" s="134">
        <f t="shared" si="64"/>
        <v>3300</v>
      </c>
      <c r="L309" s="134"/>
      <c r="M309" s="134"/>
      <c r="N309" s="134"/>
      <c r="O309" s="134">
        <f t="shared" si="65"/>
        <v>0</v>
      </c>
      <c r="P309" s="135"/>
      <c r="Q309" s="136">
        <f t="shared" si="66"/>
        <v>3300</v>
      </c>
      <c r="R309" s="136">
        <f t="shared" si="67"/>
        <v>0</v>
      </c>
      <c r="S309" s="136">
        <f t="shared" si="68"/>
        <v>3300</v>
      </c>
    </row>
    <row r="310" spans="2:19" x14ac:dyDescent="0.2">
      <c r="B310" s="123">
        <f t="shared" si="69"/>
        <v>40</v>
      </c>
      <c r="C310" s="131"/>
      <c r="D310" s="131"/>
      <c r="E310" s="131"/>
      <c r="F310" s="132" t="s">
        <v>206</v>
      </c>
      <c r="G310" s="133">
        <v>710</v>
      </c>
      <c r="H310" s="131" t="s">
        <v>176</v>
      </c>
      <c r="I310" s="134"/>
      <c r="J310" s="134"/>
      <c r="K310" s="134">
        <f t="shared" si="64"/>
        <v>0</v>
      </c>
      <c r="L310" s="134"/>
      <c r="M310" s="134">
        <f>M311</f>
        <v>2000</v>
      </c>
      <c r="N310" s="134">
        <f>N311+N313</f>
        <v>120000</v>
      </c>
      <c r="O310" s="134">
        <f t="shared" si="65"/>
        <v>122000</v>
      </c>
      <c r="P310" s="135"/>
      <c r="Q310" s="136">
        <f t="shared" si="66"/>
        <v>2000</v>
      </c>
      <c r="R310" s="136">
        <f t="shared" si="67"/>
        <v>120000</v>
      </c>
      <c r="S310" s="136">
        <f t="shared" si="68"/>
        <v>122000</v>
      </c>
    </row>
    <row r="311" spans="2:19" x14ac:dyDescent="0.2">
      <c r="B311" s="123">
        <f t="shared" si="69"/>
        <v>41</v>
      </c>
      <c r="C311" s="131"/>
      <c r="D311" s="131"/>
      <c r="E311" s="131"/>
      <c r="F311" s="132"/>
      <c r="G311" s="139">
        <v>713</v>
      </c>
      <c r="H311" s="137" t="s">
        <v>219</v>
      </c>
      <c r="I311" s="134"/>
      <c r="J311" s="134"/>
      <c r="K311" s="134">
        <f t="shared" si="64"/>
        <v>0</v>
      </c>
      <c r="L311" s="134"/>
      <c r="M311" s="140">
        <f>M312</f>
        <v>2000</v>
      </c>
      <c r="N311" s="140">
        <f>N312</f>
        <v>0</v>
      </c>
      <c r="O311" s="140">
        <f t="shared" si="65"/>
        <v>2000</v>
      </c>
      <c r="P311" s="135"/>
      <c r="Q311" s="142">
        <f t="shared" si="66"/>
        <v>2000</v>
      </c>
      <c r="R311" s="142">
        <f t="shared" si="67"/>
        <v>0</v>
      </c>
      <c r="S311" s="142">
        <f t="shared" si="68"/>
        <v>2000</v>
      </c>
    </row>
    <row r="312" spans="2:19" x14ac:dyDescent="0.2">
      <c r="B312" s="123">
        <f t="shared" si="69"/>
        <v>42</v>
      </c>
      <c r="C312" s="131"/>
      <c r="D312" s="131"/>
      <c r="E312" s="131"/>
      <c r="F312" s="132"/>
      <c r="G312" s="151"/>
      <c r="H312" s="149" t="s">
        <v>454</v>
      </c>
      <c r="I312" s="28"/>
      <c r="J312" s="28"/>
      <c r="K312" s="28">
        <f t="shared" si="64"/>
        <v>0</v>
      </c>
      <c r="L312" s="28"/>
      <c r="M312" s="28">
        <v>2000</v>
      </c>
      <c r="N312" s="28"/>
      <c r="O312" s="28">
        <f t="shared" si="65"/>
        <v>2000</v>
      </c>
      <c r="P312" s="152"/>
      <c r="Q312" s="153">
        <f t="shared" si="66"/>
        <v>2000</v>
      </c>
      <c r="R312" s="153">
        <f t="shared" si="67"/>
        <v>0</v>
      </c>
      <c r="S312" s="153">
        <f t="shared" si="68"/>
        <v>2000</v>
      </c>
    </row>
    <row r="313" spans="2:19" x14ac:dyDescent="0.2">
      <c r="B313" s="123">
        <f t="shared" si="69"/>
        <v>43</v>
      </c>
      <c r="C313" s="131"/>
      <c r="D313" s="131"/>
      <c r="E313" s="131"/>
      <c r="F313" s="132"/>
      <c r="G313" s="139">
        <v>714</v>
      </c>
      <c r="H313" s="137" t="s">
        <v>177</v>
      </c>
      <c r="I313" s="134"/>
      <c r="J313" s="134"/>
      <c r="K313" s="134">
        <f t="shared" ref="K313:K314" si="70">I313+J313</f>
        <v>0</v>
      </c>
      <c r="L313" s="134"/>
      <c r="M313" s="140">
        <f>M314</f>
        <v>0</v>
      </c>
      <c r="N313" s="140">
        <f>N314</f>
        <v>120000</v>
      </c>
      <c r="O313" s="140">
        <f t="shared" ref="O313:O314" si="71">M313+N313</f>
        <v>120000</v>
      </c>
      <c r="P313" s="135"/>
      <c r="Q313" s="142">
        <f t="shared" si="66"/>
        <v>0</v>
      </c>
      <c r="R313" s="142">
        <f t="shared" si="67"/>
        <v>120000</v>
      </c>
      <c r="S313" s="142">
        <f t="shared" si="68"/>
        <v>120000</v>
      </c>
    </row>
    <row r="314" spans="2:19" x14ac:dyDescent="0.2">
      <c r="B314" s="123">
        <f t="shared" si="69"/>
        <v>44</v>
      </c>
      <c r="C314" s="131"/>
      <c r="D314" s="131"/>
      <c r="E314" s="131"/>
      <c r="F314" s="132"/>
      <c r="G314" s="151"/>
      <c r="H314" s="149" t="s">
        <v>634</v>
      </c>
      <c r="I314" s="28"/>
      <c r="J314" s="28"/>
      <c r="K314" s="28">
        <f t="shared" si="70"/>
        <v>0</v>
      </c>
      <c r="L314" s="28"/>
      <c r="M314" s="28">
        <v>0</v>
      </c>
      <c r="N314" s="28">
        <v>120000</v>
      </c>
      <c r="O314" s="28">
        <f t="shared" si="71"/>
        <v>120000</v>
      </c>
      <c r="P314" s="152"/>
      <c r="Q314" s="153">
        <f t="shared" si="66"/>
        <v>0</v>
      </c>
      <c r="R314" s="153">
        <f t="shared" si="67"/>
        <v>120000</v>
      </c>
      <c r="S314" s="153">
        <f t="shared" si="68"/>
        <v>120000</v>
      </c>
    </row>
    <row r="315" spans="2:19" ht="15" x14ac:dyDescent="0.2">
      <c r="B315" s="123">
        <f t="shared" si="69"/>
        <v>45</v>
      </c>
      <c r="C315" s="126">
        <v>3</v>
      </c>
      <c r="D315" s="460" t="s">
        <v>231</v>
      </c>
      <c r="E315" s="461"/>
      <c r="F315" s="461"/>
      <c r="G315" s="461"/>
      <c r="H315" s="461"/>
      <c r="I315" s="127">
        <f>I316</f>
        <v>11750</v>
      </c>
      <c r="J315" s="127">
        <f>J316</f>
        <v>0</v>
      </c>
      <c r="K315" s="127">
        <f t="shared" si="64"/>
        <v>11750</v>
      </c>
      <c r="L315" s="128"/>
      <c r="M315" s="127">
        <f>M318</f>
        <v>30000</v>
      </c>
      <c r="N315" s="127">
        <f>N318</f>
        <v>0</v>
      </c>
      <c r="O315" s="127">
        <f t="shared" si="65"/>
        <v>30000</v>
      </c>
      <c r="P315" s="129"/>
      <c r="Q315" s="130">
        <f t="shared" si="66"/>
        <v>41750</v>
      </c>
      <c r="R315" s="130">
        <f t="shared" si="67"/>
        <v>0</v>
      </c>
      <c r="S315" s="130">
        <f t="shared" si="68"/>
        <v>41750</v>
      </c>
    </row>
    <row r="316" spans="2:19" x14ac:dyDescent="0.2">
      <c r="B316" s="123">
        <f t="shared" si="69"/>
        <v>46</v>
      </c>
      <c r="C316" s="131"/>
      <c r="D316" s="131"/>
      <c r="E316" s="131"/>
      <c r="F316" s="132" t="s">
        <v>193</v>
      </c>
      <c r="G316" s="133">
        <v>630</v>
      </c>
      <c r="H316" s="131" t="s">
        <v>122</v>
      </c>
      <c r="I316" s="134">
        <f>I317</f>
        <v>11750</v>
      </c>
      <c r="J316" s="134">
        <f>J317</f>
        <v>0</v>
      </c>
      <c r="K316" s="134">
        <f t="shared" si="64"/>
        <v>11750</v>
      </c>
      <c r="L316" s="134"/>
      <c r="M316" s="134"/>
      <c r="N316" s="134"/>
      <c r="O316" s="134">
        <f t="shared" si="65"/>
        <v>0</v>
      </c>
      <c r="P316" s="135"/>
      <c r="Q316" s="136">
        <f t="shared" si="66"/>
        <v>11750</v>
      </c>
      <c r="R316" s="136">
        <f t="shared" si="67"/>
        <v>0</v>
      </c>
      <c r="S316" s="136">
        <f t="shared" si="68"/>
        <v>11750</v>
      </c>
    </row>
    <row r="317" spans="2:19" x14ac:dyDescent="0.2">
      <c r="B317" s="123">
        <f t="shared" si="69"/>
        <v>47</v>
      </c>
      <c r="C317" s="137"/>
      <c r="D317" s="137"/>
      <c r="E317" s="137"/>
      <c r="F317" s="138"/>
      <c r="G317" s="139">
        <v>635</v>
      </c>
      <c r="H317" s="137" t="s">
        <v>134</v>
      </c>
      <c r="I317" s="140">
        <v>11750</v>
      </c>
      <c r="J317" s="140"/>
      <c r="K317" s="140">
        <f t="shared" si="64"/>
        <v>11750</v>
      </c>
      <c r="L317" s="140"/>
      <c r="M317" s="140"/>
      <c r="N317" s="140"/>
      <c r="O317" s="140">
        <f t="shared" si="65"/>
        <v>0</v>
      </c>
      <c r="P317" s="141"/>
      <c r="Q317" s="142">
        <f t="shared" si="66"/>
        <v>11750</v>
      </c>
      <c r="R317" s="142">
        <f t="shared" si="67"/>
        <v>0</v>
      </c>
      <c r="S317" s="142">
        <f t="shared" si="68"/>
        <v>11750</v>
      </c>
    </row>
    <row r="318" spans="2:19" x14ac:dyDescent="0.2">
      <c r="B318" s="123">
        <f t="shared" si="69"/>
        <v>48</v>
      </c>
      <c r="C318" s="131"/>
      <c r="D318" s="131"/>
      <c r="E318" s="131"/>
      <c r="F318" s="132" t="s">
        <v>193</v>
      </c>
      <c r="G318" s="133">
        <v>710</v>
      </c>
      <c r="H318" s="131" t="s">
        <v>176</v>
      </c>
      <c r="I318" s="134"/>
      <c r="J318" s="134"/>
      <c r="K318" s="134">
        <f t="shared" si="64"/>
        <v>0</v>
      </c>
      <c r="L318" s="134"/>
      <c r="M318" s="134">
        <f>M319</f>
        <v>30000</v>
      </c>
      <c r="N318" s="134">
        <f>N319</f>
        <v>0</v>
      </c>
      <c r="O318" s="134">
        <f t="shared" si="65"/>
        <v>30000</v>
      </c>
      <c r="P318" s="135"/>
      <c r="Q318" s="136">
        <f t="shared" si="66"/>
        <v>30000</v>
      </c>
      <c r="R318" s="136">
        <f t="shared" si="67"/>
        <v>0</v>
      </c>
      <c r="S318" s="136">
        <f t="shared" si="68"/>
        <v>30000</v>
      </c>
    </row>
    <row r="319" spans="2:19" x14ac:dyDescent="0.2">
      <c r="B319" s="123">
        <f t="shared" si="69"/>
        <v>49</v>
      </c>
      <c r="C319" s="137"/>
      <c r="D319" s="137"/>
      <c r="E319" s="137"/>
      <c r="F319" s="138"/>
      <c r="G319" s="139">
        <v>713</v>
      </c>
      <c r="H319" s="137" t="s">
        <v>219</v>
      </c>
      <c r="I319" s="140"/>
      <c r="J319" s="140"/>
      <c r="K319" s="140">
        <f t="shared" si="64"/>
        <v>0</v>
      </c>
      <c r="L319" s="140"/>
      <c r="M319" s="140">
        <f>M320</f>
        <v>30000</v>
      </c>
      <c r="N319" s="140">
        <f>N320</f>
        <v>0</v>
      </c>
      <c r="O319" s="140">
        <f t="shared" si="65"/>
        <v>30000</v>
      </c>
      <c r="P319" s="141"/>
      <c r="Q319" s="142">
        <f t="shared" si="66"/>
        <v>30000</v>
      </c>
      <c r="R319" s="142">
        <f t="shared" si="67"/>
        <v>0</v>
      </c>
      <c r="S319" s="142">
        <f t="shared" si="68"/>
        <v>30000</v>
      </c>
    </row>
    <row r="320" spans="2:19" x14ac:dyDescent="0.2">
      <c r="B320" s="123">
        <f t="shared" si="69"/>
        <v>50</v>
      </c>
      <c r="C320" s="149"/>
      <c r="D320" s="149"/>
      <c r="E320" s="149"/>
      <c r="F320" s="151"/>
      <c r="G320" s="151"/>
      <c r="H320" s="149" t="s">
        <v>291</v>
      </c>
      <c r="I320" s="28"/>
      <c r="J320" s="28"/>
      <c r="K320" s="28">
        <f t="shared" si="64"/>
        <v>0</v>
      </c>
      <c r="L320" s="28"/>
      <c r="M320" s="28">
        <v>30000</v>
      </c>
      <c r="N320" s="28"/>
      <c r="O320" s="28">
        <f t="shared" si="65"/>
        <v>30000</v>
      </c>
      <c r="P320" s="152"/>
      <c r="Q320" s="153">
        <f t="shared" si="66"/>
        <v>30000</v>
      </c>
      <c r="R320" s="153">
        <f t="shared" si="67"/>
        <v>0</v>
      </c>
      <c r="S320" s="153">
        <f t="shared" si="68"/>
        <v>30000</v>
      </c>
    </row>
    <row r="321" spans="2:19" ht="15" x14ac:dyDescent="0.2">
      <c r="B321" s="123">
        <f t="shared" si="69"/>
        <v>51</v>
      </c>
      <c r="C321" s="126">
        <v>4</v>
      </c>
      <c r="D321" s="460" t="s">
        <v>158</v>
      </c>
      <c r="E321" s="461"/>
      <c r="F321" s="461"/>
      <c r="G321" s="461"/>
      <c r="H321" s="461"/>
      <c r="I321" s="127">
        <f>I322</f>
        <v>44000</v>
      </c>
      <c r="J321" s="127">
        <f>J322</f>
        <v>450</v>
      </c>
      <c r="K321" s="127">
        <f t="shared" si="64"/>
        <v>44450</v>
      </c>
      <c r="L321" s="128"/>
      <c r="M321" s="127"/>
      <c r="N321" s="127"/>
      <c r="O321" s="127">
        <f t="shared" si="65"/>
        <v>0</v>
      </c>
      <c r="P321" s="129"/>
      <c r="Q321" s="130">
        <f t="shared" si="66"/>
        <v>44000</v>
      </c>
      <c r="R321" s="130">
        <f t="shared" si="67"/>
        <v>450</v>
      </c>
      <c r="S321" s="130">
        <f t="shared" si="68"/>
        <v>44450</v>
      </c>
    </row>
    <row r="322" spans="2:19" x14ac:dyDescent="0.2">
      <c r="B322" s="123">
        <f t="shared" si="69"/>
        <v>52</v>
      </c>
      <c r="C322" s="131"/>
      <c r="D322" s="131"/>
      <c r="E322" s="131"/>
      <c r="F322" s="132" t="s">
        <v>157</v>
      </c>
      <c r="G322" s="133">
        <v>630</v>
      </c>
      <c r="H322" s="131" t="s">
        <v>122</v>
      </c>
      <c r="I322" s="134">
        <f>SUM(I323:I325)</f>
        <v>44000</v>
      </c>
      <c r="J322" s="134">
        <f>SUM(J323:J325)</f>
        <v>450</v>
      </c>
      <c r="K322" s="134">
        <f t="shared" si="64"/>
        <v>44450</v>
      </c>
      <c r="L322" s="134"/>
      <c r="M322" s="134"/>
      <c r="N322" s="134"/>
      <c r="O322" s="134">
        <f t="shared" si="65"/>
        <v>0</v>
      </c>
      <c r="P322" s="135"/>
      <c r="Q322" s="136">
        <f t="shared" si="66"/>
        <v>44000</v>
      </c>
      <c r="R322" s="136">
        <f t="shared" si="67"/>
        <v>450</v>
      </c>
      <c r="S322" s="136">
        <f t="shared" si="68"/>
        <v>44450</v>
      </c>
    </row>
    <row r="323" spans="2:19" x14ac:dyDescent="0.2">
      <c r="B323" s="123">
        <f t="shared" si="69"/>
        <v>53</v>
      </c>
      <c r="C323" s="137"/>
      <c r="D323" s="137"/>
      <c r="E323" s="137"/>
      <c r="F323" s="138"/>
      <c r="G323" s="139">
        <v>633</v>
      </c>
      <c r="H323" s="137" t="s">
        <v>126</v>
      </c>
      <c r="I323" s="140">
        <v>9000</v>
      </c>
      <c r="J323" s="140"/>
      <c r="K323" s="140">
        <f t="shared" si="64"/>
        <v>9000</v>
      </c>
      <c r="L323" s="140"/>
      <c r="M323" s="140"/>
      <c r="N323" s="140"/>
      <c r="O323" s="140">
        <f t="shared" si="65"/>
        <v>0</v>
      </c>
      <c r="P323" s="141"/>
      <c r="Q323" s="142">
        <f t="shared" si="66"/>
        <v>9000</v>
      </c>
      <c r="R323" s="142">
        <f t="shared" si="67"/>
        <v>0</v>
      </c>
      <c r="S323" s="142">
        <f t="shared" si="68"/>
        <v>9000</v>
      </c>
    </row>
    <row r="324" spans="2:19" x14ac:dyDescent="0.2">
      <c r="B324" s="123">
        <f t="shared" si="69"/>
        <v>54</v>
      </c>
      <c r="C324" s="137"/>
      <c r="D324" s="137"/>
      <c r="E324" s="137"/>
      <c r="F324" s="138"/>
      <c r="G324" s="139">
        <v>635</v>
      </c>
      <c r="H324" s="137" t="s">
        <v>134</v>
      </c>
      <c r="I324" s="140">
        <v>11700</v>
      </c>
      <c r="J324" s="140"/>
      <c r="K324" s="140">
        <f t="shared" si="64"/>
        <v>11700</v>
      </c>
      <c r="L324" s="140"/>
      <c r="M324" s="140"/>
      <c r="N324" s="140"/>
      <c r="O324" s="140">
        <f t="shared" si="65"/>
        <v>0</v>
      </c>
      <c r="P324" s="141"/>
      <c r="Q324" s="142">
        <f t="shared" si="66"/>
        <v>11700</v>
      </c>
      <c r="R324" s="142">
        <f t="shared" si="67"/>
        <v>0</v>
      </c>
      <c r="S324" s="142">
        <f t="shared" si="68"/>
        <v>11700</v>
      </c>
    </row>
    <row r="325" spans="2:19" x14ac:dyDescent="0.2">
      <c r="B325" s="123">
        <f t="shared" si="69"/>
        <v>55</v>
      </c>
      <c r="C325" s="137"/>
      <c r="D325" s="137"/>
      <c r="E325" s="137"/>
      <c r="F325" s="138"/>
      <c r="G325" s="139">
        <v>637</v>
      </c>
      <c r="H325" s="137" t="s">
        <v>123</v>
      </c>
      <c r="I325" s="140">
        <f>12000+9500+1800</f>
        <v>23300</v>
      </c>
      <c r="J325" s="140">
        <v>450</v>
      </c>
      <c r="K325" s="140">
        <f t="shared" si="64"/>
        <v>23750</v>
      </c>
      <c r="L325" s="140"/>
      <c r="M325" s="140"/>
      <c r="N325" s="140"/>
      <c r="O325" s="140">
        <f t="shared" si="65"/>
        <v>0</v>
      </c>
      <c r="P325" s="141"/>
      <c r="Q325" s="142">
        <f t="shared" si="66"/>
        <v>23300</v>
      </c>
      <c r="R325" s="142">
        <f t="shared" si="67"/>
        <v>450</v>
      </c>
      <c r="S325" s="142">
        <f t="shared" si="68"/>
        <v>23750</v>
      </c>
    </row>
    <row r="326" spans="2:19" ht="15" x14ac:dyDescent="0.2">
      <c r="B326" s="123">
        <f t="shared" si="69"/>
        <v>56</v>
      </c>
      <c r="C326" s="126">
        <v>5</v>
      </c>
      <c r="D326" s="460" t="s">
        <v>148</v>
      </c>
      <c r="E326" s="461"/>
      <c r="F326" s="461"/>
      <c r="G326" s="461"/>
      <c r="H326" s="461"/>
      <c r="I326" s="127">
        <f>I328+I332+I327</f>
        <v>48200</v>
      </c>
      <c r="J326" s="127">
        <f>J328+J332+J327</f>
        <v>0</v>
      </c>
      <c r="K326" s="127">
        <f t="shared" si="64"/>
        <v>48200</v>
      </c>
      <c r="L326" s="128"/>
      <c r="M326" s="127"/>
      <c r="N326" s="127"/>
      <c r="O326" s="127">
        <f t="shared" si="65"/>
        <v>0</v>
      </c>
      <c r="P326" s="129"/>
      <c r="Q326" s="130">
        <f t="shared" si="66"/>
        <v>48200</v>
      </c>
      <c r="R326" s="130">
        <f t="shared" si="67"/>
        <v>0</v>
      </c>
      <c r="S326" s="130">
        <f t="shared" si="68"/>
        <v>48200</v>
      </c>
    </row>
    <row r="327" spans="2:19" x14ac:dyDescent="0.2">
      <c r="B327" s="123">
        <f t="shared" si="69"/>
        <v>57</v>
      </c>
      <c r="C327" s="131"/>
      <c r="D327" s="131"/>
      <c r="E327" s="131"/>
      <c r="F327" s="132" t="s">
        <v>147</v>
      </c>
      <c r="G327" s="133">
        <v>620</v>
      </c>
      <c r="H327" s="131" t="s">
        <v>125</v>
      </c>
      <c r="I327" s="134">
        <v>500</v>
      </c>
      <c r="J327" s="134"/>
      <c r="K327" s="134">
        <f t="shared" si="64"/>
        <v>500</v>
      </c>
      <c r="L327" s="134"/>
      <c r="M327" s="134"/>
      <c r="N327" s="134"/>
      <c r="O327" s="134">
        <f t="shared" si="65"/>
        <v>0</v>
      </c>
      <c r="P327" s="135"/>
      <c r="Q327" s="136">
        <f t="shared" si="66"/>
        <v>500</v>
      </c>
      <c r="R327" s="136">
        <f t="shared" si="67"/>
        <v>0</v>
      </c>
      <c r="S327" s="136">
        <f t="shared" si="68"/>
        <v>500</v>
      </c>
    </row>
    <row r="328" spans="2:19" s="79" customFormat="1" x14ac:dyDescent="0.2">
      <c r="B328" s="123">
        <f t="shared" si="69"/>
        <v>58</v>
      </c>
      <c r="C328" s="131"/>
      <c r="D328" s="131"/>
      <c r="E328" s="131"/>
      <c r="F328" s="132" t="s">
        <v>147</v>
      </c>
      <c r="G328" s="133">
        <v>630</v>
      </c>
      <c r="H328" s="131" t="s">
        <v>122</v>
      </c>
      <c r="I328" s="134">
        <f>I331+I330+I329</f>
        <v>38700</v>
      </c>
      <c r="J328" s="134">
        <f>J331+J330+J329</f>
        <v>0</v>
      </c>
      <c r="K328" s="134">
        <f t="shared" si="64"/>
        <v>38700</v>
      </c>
      <c r="L328" s="134"/>
      <c r="M328" s="134"/>
      <c r="N328" s="134"/>
      <c r="O328" s="134">
        <f t="shared" si="65"/>
        <v>0</v>
      </c>
      <c r="P328" s="135"/>
      <c r="Q328" s="136">
        <f t="shared" si="66"/>
        <v>38700</v>
      </c>
      <c r="R328" s="136">
        <f t="shared" si="67"/>
        <v>0</v>
      </c>
      <c r="S328" s="136">
        <f t="shared" si="68"/>
        <v>38700</v>
      </c>
    </row>
    <row r="329" spans="2:19" x14ac:dyDescent="0.2">
      <c r="B329" s="123">
        <f t="shared" si="69"/>
        <v>59</v>
      </c>
      <c r="C329" s="137"/>
      <c r="D329" s="137"/>
      <c r="E329" s="137"/>
      <c r="F329" s="138"/>
      <c r="G329" s="139">
        <v>633</v>
      </c>
      <c r="H329" s="137" t="s">
        <v>126</v>
      </c>
      <c r="I329" s="140">
        <f>9300+3234</f>
        <v>12534</v>
      </c>
      <c r="J329" s="140"/>
      <c r="K329" s="140">
        <f t="shared" si="64"/>
        <v>12534</v>
      </c>
      <c r="L329" s="140"/>
      <c r="M329" s="140"/>
      <c r="N329" s="140"/>
      <c r="O329" s="140">
        <f t="shared" si="65"/>
        <v>0</v>
      </c>
      <c r="P329" s="141"/>
      <c r="Q329" s="142">
        <f t="shared" si="66"/>
        <v>12534</v>
      </c>
      <c r="R329" s="142">
        <f t="shared" si="67"/>
        <v>0</v>
      </c>
      <c r="S329" s="142">
        <f t="shared" si="68"/>
        <v>12534</v>
      </c>
    </row>
    <row r="330" spans="2:19" x14ac:dyDescent="0.2">
      <c r="B330" s="123">
        <f t="shared" si="69"/>
        <v>60</v>
      </c>
      <c r="C330" s="137"/>
      <c r="D330" s="137"/>
      <c r="E330" s="137"/>
      <c r="F330" s="138"/>
      <c r="G330" s="139">
        <v>634</v>
      </c>
      <c r="H330" s="137" t="s">
        <v>133</v>
      </c>
      <c r="I330" s="140">
        <v>4000</v>
      </c>
      <c r="J330" s="140"/>
      <c r="K330" s="140">
        <f t="shared" si="64"/>
        <v>4000</v>
      </c>
      <c r="L330" s="140"/>
      <c r="M330" s="140"/>
      <c r="N330" s="140"/>
      <c r="O330" s="140">
        <f t="shared" si="65"/>
        <v>0</v>
      </c>
      <c r="P330" s="141"/>
      <c r="Q330" s="142">
        <f t="shared" si="66"/>
        <v>4000</v>
      </c>
      <c r="R330" s="142">
        <f t="shared" si="67"/>
        <v>0</v>
      </c>
      <c r="S330" s="142">
        <f t="shared" si="68"/>
        <v>4000</v>
      </c>
    </row>
    <row r="331" spans="2:19" x14ac:dyDescent="0.2">
      <c r="B331" s="123">
        <f t="shared" si="69"/>
        <v>61</v>
      </c>
      <c r="C331" s="137"/>
      <c r="D331" s="137"/>
      <c r="E331" s="137"/>
      <c r="F331" s="138"/>
      <c r="G331" s="139">
        <v>637</v>
      </c>
      <c r="H331" s="137" t="s">
        <v>123</v>
      </c>
      <c r="I331" s="140">
        <f>21000+1166</f>
        <v>22166</v>
      </c>
      <c r="J331" s="140"/>
      <c r="K331" s="140">
        <f t="shared" si="64"/>
        <v>22166</v>
      </c>
      <c r="L331" s="140"/>
      <c r="M331" s="140"/>
      <c r="N331" s="140"/>
      <c r="O331" s="140">
        <f t="shared" si="65"/>
        <v>0</v>
      </c>
      <c r="P331" s="141"/>
      <c r="Q331" s="142">
        <f t="shared" si="66"/>
        <v>22166</v>
      </c>
      <c r="R331" s="142">
        <f t="shared" si="67"/>
        <v>0</v>
      </c>
      <c r="S331" s="142">
        <f t="shared" si="68"/>
        <v>22166</v>
      </c>
    </row>
    <row r="332" spans="2:19" x14ac:dyDescent="0.2">
      <c r="B332" s="123">
        <f t="shared" si="69"/>
        <v>62</v>
      </c>
      <c r="C332" s="131"/>
      <c r="D332" s="131"/>
      <c r="E332" s="131"/>
      <c r="F332" s="132" t="s">
        <v>147</v>
      </c>
      <c r="G332" s="133">
        <v>640</v>
      </c>
      <c r="H332" s="131" t="s">
        <v>130</v>
      </c>
      <c r="I332" s="134">
        <f>I333+I334</f>
        <v>9000</v>
      </c>
      <c r="J332" s="134">
        <f>J333+J334</f>
        <v>0</v>
      </c>
      <c r="K332" s="134">
        <f t="shared" si="64"/>
        <v>9000</v>
      </c>
      <c r="L332" s="134"/>
      <c r="M332" s="134"/>
      <c r="N332" s="134"/>
      <c r="O332" s="134">
        <f t="shared" si="65"/>
        <v>0</v>
      </c>
      <c r="P332" s="135"/>
      <c r="Q332" s="136">
        <f t="shared" si="66"/>
        <v>9000</v>
      </c>
      <c r="R332" s="136">
        <f t="shared" si="67"/>
        <v>0</v>
      </c>
      <c r="S332" s="136">
        <f t="shared" si="68"/>
        <v>9000</v>
      </c>
    </row>
    <row r="333" spans="2:19" x14ac:dyDescent="0.2">
      <c r="B333" s="123">
        <f t="shared" si="69"/>
        <v>63</v>
      </c>
      <c r="C333" s="165"/>
      <c r="D333" s="165"/>
      <c r="E333" s="149"/>
      <c r="F333" s="151"/>
      <c r="G333" s="151"/>
      <c r="H333" s="149" t="s">
        <v>9</v>
      </c>
      <c r="I333" s="28">
        <v>3000</v>
      </c>
      <c r="J333" s="28"/>
      <c r="K333" s="28">
        <f t="shared" si="64"/>
        <v>3000</v>
      </c>
      <c r="L333" s="28"/>
      <c r="M333" s="28"/>
      <c r="N333" s="28"/>
      <c r="O333" s="28">
        <f t="shared" si="65"/>
        <v>0</v>
      </c>
      <c r="P333" s="152"/>
      <c r="Q333" s="153">
        <f t="shared" si="66"/>
        <v>3000</v>
      </c>
      <c r="R333" s="153">
        <f t="shared" si="67"/>
        <v>0</v>
      </c>
      <c r="S333" s="153">
        <f t="shared" si="68"/>
        <v>3000</v>
      </c>
    </row>
    <row r="334" spans="2:19" x14ac:dyDescent="0.2">
      <c r="B334" s="123">
        <f t="shared" si="69"/>
        <v>64</v>
      </c>
      <c r="C334" s="165"/>
      <c r="D334" s="165"/>
      <c r="E334" s="149"/>
      <c r="F334" s="151"/>
      <c r="G334" s="151"/>
      <c r="H334" s="149" t="s">
        <v>10</v>
      </c>
      <c r="I334" s="28">
        <v>6000</v>
      </c>
      <c r="J334" s="28"/>
      <c r="K334" s="28">
        <f t="shared" si="64"/>
        <v>6000</v>
      </c>
      <c r="L334" s="28"/>
      <c r="M334" s="28"/>
      <c r="N334" s="28"/>
      <c r="O334" s="28">
        <f t="shared" si="65"/>
        <v>0</v>
      </c>
      <c r="P334" s="152"/>
      <c r="Q334" s="153">
        <f t="shared" si="66"/>
        <v>6000</v>
      </c>
      <c r="R334" s="153">
        <f t="shared" si="67"/>
        <v>0</v>
      </c>
      <c r="S334" s="153">
        <f t="shared" si="68"/>
        <v>6000</v>
      </c>
    </row>
    <row r="335" spans="2:19" x14ac:dyDescent="0.2">
      <c r="B335" s="1"/>
      <c r="F335" s="1"/>
      <c r="G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2:19" x14ac:dyDescent="0.2">
      <c r="B336" s="1"/>
      <c r="F336" s="1"/>
      <c r="G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2:19" ht="27.75" x14ac:dyDescent="0.4">
      <c r="B337" s="429" t="s">
        <v>19</v>
      </c>
      <c r="C337" s="430"/>
      <c r="D337" s="430"/>
      <c r="E337" s="430"/>
      <c r="F337" s="430"/>
      <c r="G337" s="430"/>
      <c r="H337" s="430"/>
      <c r="I337" s="430"/>
      <c r="J337" s="430"/>
      <c r="K337" s="430"/>
      <c r="L337" s="430"/>
      <c r="M337" s="430"/>
      <c r="N337" s="430"/>
      <c r="O337" s="430"/>
      <c r="P337" s="430"/>
      <c r="Q337" s="430"/>
    </row>
    <row r="338" spans="2:19" ht="12.75" customHeight="1" x14ac:dyDescent="0.2">
      <c r="B338" s="459" t="s">
        <v>422</v>
      </c>
      <c r="C338" s="459"/>
      <c r="D338" s="459"/>
      <c r="E338" s="459"/>
      <c r="F338" s="459"/>
      <c r="G338" s="459"/>
      <c r="H338" s="459"/>
      <c r="I338" s="459"/>
      <c r="J338" s="459"/>
      <c r="K338" s="459"/>
      <c r="L338" s="459"/>
      <c r="M338" s="459"/>
      <c r="N338" s="459"/>
      <c r="O338" s="459"/>
      <c r="P338" s="390"/>
      <c r="Q338" s="408" t="s">
        <v>595</v>
      </c>
      <c r="R338" s="408" t="s">
        <v>591</v>
      </c>
      <c r="S338" s="408" t="s">
        <v>566</v>
      </c>
    </row>
    <row r="339" spans="2:19" ht="12.75" customHeight="1" x14ac:dyDescent="0.2">
      <c r="B339" s="458"/>
      <c r="C339" s="437" t="s">
        <v>115</v>
      </c>
      <c r="D339" s="437" t="s">
        <v>116</v>
      </c>
      <c r="E339" s="452"/>
      <c r="F339" s="437" t="s">
        <v>117</v>
      </c>
      <c r="G339" s="443" t="s">
        <v>118</v>
      </c>
      <c r="H339" s="449" t="s">
        <v>119</v>
      </c>
      <c r="I339" s="408" t="s">
        <v>593</v>
      </c>
      <c r="J339" s="408" t="s">
        <v>591</v>
      </c>
      <c r="K339" s="408" t="s">
        <v>566</v>
      </c>
      <c r="L339" s="391"/>
      <c r="M339" s="408" t="s">
        <v>594</v>
      </c>
      <c r="N339" s="408" t="s">
        <v>591</v>
      </c>
      <c r="O339" s="408" t="s">
        <v>566</v>
      </c>
      <c r="P339" s="391"/>
      <c r="Q339" s="408"/>
      <c r="R339" s="408"/>
      <c r="S339" s="408"/>
    </row>
    <row r="340" spans="2:19" x14ac:dyDescent="0.2">
      <c r="B340" s="458"/>
      <c r="C340" s="437"/>
      <c r="D340" s="437"/>
      <c r="E340" s="452"/>
      <c r="F340" s="437"/>
      <c r="G340" s="443"/>
      <c r="H340" s="449"/>
      <c r="I340" s="408"/>
      <c r="J340" s="408"/>
      <c r="K340" s="408"/>
      <c r="L340" s="391"/>
      <c r="M340" s="408"/>
      <c r="N340" s="408"/>
      <c r="O340" s="408"/>
      <c r="P340" s="391"/>
      <c r="Q340" s="408"/>
      <c r="R340" s="408"/>
      <c r="S340" s="408"/>
    </row>
    <row r="341" spans="2:19" ht="13.5" customHeight="1" x14ac:dyDescent="0.2">
      <c r="B341" s="458"/>
      <c r="C341" s="437"/>
      <c r="D341" s="437"/>
      <c r="E341" s="452"/>
      <c r="F341" s="437"/>
      <c r="G341" s="443"/>
      <c r="H341" s="449"/>
      <c r="I341" s="408"/>
      <c r="J341" s="408"/>
      <c r="K341" s="408"/>
      <c r="L341" s="391"/>
      <c r="M341" s="408"/>
      <c r="N341" s="408"/>
      <c r="O341" s="408"/>
      <c r="P341" s="391"/>
      <c r="Q341" s="408"/>
      <c r="R341" s="408"/>
      <c r="S341" s="408"/>
    </row>
    <row r="342" spans="2:19" ht="12.75" customHeight="1" x14ac:dyDescent="0.2">
      <c r="B342" s="458"/>
      <c r="C342" s="437"/>
      <c r="D342" s="437"/>
      <c r="E342" s="452"/>
      <c r="F342" s="437"/>
      <c r="G342" s="443"/>
      <c r="H342" s="449"/>
      <c r="I342" s="408"/>
      <c r="J342" s="408"/>
      <c r="K342" s="408"/>
      <c r="L342" s="391"/>
      <c r="M342" s="408"/>
      <c r="N342" s="408"/>
      <c r="O342" s="408"/>
      <c r="P342" s="391"/>
      <c r="Q342" s="408"/>
      <c r="R342" s="408"/>
      <c r="S342" s="408"/>
    </row>
    <row r="343" spans="2:19" ht="15.75" x14ac:dyDescent="0.2">
      <c r="B343" s="48">
        <v>1</v>
      </c>
      <c r="C343" s="453" t="s">
        <v>19</v>
      </c>
      <c r="D343" s="454"/>
      <c r="E343" s="454"/>
      <c r="F343" s="454"/>
      <c r="G343" s="454"/>
      <c r="H343" s="454"/>
      <c r="I343" s="49">
        <f>I344+I353+I383</f>
        <v>7144256</v>
      </c>
      <c r="J343" s="49">
        <f>J344+J353+J383</f>
        <v>113550</v>
      </c>
      <c r="K343" s="49">
        <f>I343+J343</f>
        <v>7257806</v>
      </c>
      <c r="L343" s="394"/>
      <c r="M343" s="49">
        <f>M383+M353+M344</f>
        <v>2399933</v>
      </c>
      <c r="N343" s="49">
        <f>N383+N353+N344</f>
        <v>1232000</v>
      </c>
      <c r="O343" s="49">
        <f>M343+N343</f>
        <v>3631933</v>
      </c>
      <c r="P343" s="392"/>
      <c r="Q343" s="50">
        <f t="shared" ref="Q343:S347" si="72">I343+M343</f>
        <v>9544189</v>
      </c>
      <c r="R343" s="50">
        <f t="shared" si="72"/>
        <v>1345550</v>
      </c>
      <c r="S343" s="50">
        <f t="shared" si="72"/>
        <v>10889739</v>
      </c>
    </row>
    <row r="344" spans="2:19" ht="15" x14ac:dyDescent="0.2">
      <c r="B344" s="48">
        <f t="shared" ref="B344:B375" si="73">B343+1</f>
        <v>2</v>
      </c>
      <c r="C344" s="51">
        <v>1</v>
      </c>
      <c r="D344" s="435" t="s">
        <v>369</v>
      </c>
      <c r="E344" s="436"/>
      <c r="F344" s="436"/>
      <c r="G344" s="436"/>
      <c r="H344" s="436"/>
      <c r="I344" s="52">
        <f>I345</f>
        <v>4146277</v>
      </c>
      <c r="J344" s="52">
        <f>J345</f>
        <v>113550</v>
      </c>
      <c r="K344" s="52">
        <f t="shared" ref="K344:K385" si="74">I344+J344</f>
        <v>4259827</v>
      </c>
      <c r="L344" s="53"/>
      <c r="M344" s="52">
        <f>M349</f>
        <v>14000</v>
      </c>
      <c r="N344" s="52">
        <f>N349</f>
        <v>0</v>
      </c>
      <c r="O344" s="52">
        <f t="shared" ref="O344:O408" si="75">M344+N344</f>
        <v>14000</v>
      </c>
      <c r="P344" s="54"/>
      <c r="Q344" s="72">
        <f t="shared" si="72"/>
        <v>4160277</v>
      </c>
      <c r="R344" s="72">
        <f t="shared" si="72"/>
        <v>113550</v>
      </c>
      <c r="S344" s="72">
        <f t="shared" si="72"/>
        <v>4273827</v>
      </c>
    </row>
    <row r="345" spans="2:19" x14ac:dyDescent="0.2">
      <c r="B345" s="48">
        <f t="shared" si="73"/>
        <v>3</v>
      </c>
      <c r="C345" s="9"/>
      <c r="D345" s="9"/>
      <c r="E345" s="9"/>
      <c r="F345" s="61" t="s">
        <v>220</v>
      </c>
      <c r="G345" s="8">
        <v>640</v>
      </c>
      <c r="H345" s="9" t="s">
        <v>130</v>
      </c>
      <c r="I345" s="62">
        <f>SUM(I346:I347)</f>
        <v>4146277</v>
      </c>
      <c r="J345" s="62">
        <f>SUM(J347:J349)</f>
        <v>113550</v>
      </c>
      <c r="K345" s="62">
        <f t="shared" si="74"/>
        <v>4259827</v>
      </c>
      <c r="L345" s="62"/>
      <c r="M345" s="62"/>
      <c r="N345" s="62"/>
      <c r="O345" s="62">
        <f t="shared" si="75"/>
        <v>0</v>
      </c>
      <c r="P345" s="63"/>
      <c r="Q345" s="64">
        <f t="shared" si="72"/>
        <v>4146277</v>
      </c>
      <c r="R345" s="64">
        <f t="shared" si="72"/>
        <v>113550</v>
      </c>
      <c r="S345" s="64">
        <f t="shared" si="72"/>
        <v>4259827</v>
      </c>
    </row>
    <row r="346" spans="2:19" x14ac:dyDescent="0.2">
      <c r="B346" s="48">
        <f t="shared" si="73"/>
        <v>4</v>
      </c>
      <c r="C346" s="13"/>
      <c r="D346" s="13"/>
      <c r="E346" s="13"/>
      <c r="F346" s="82"/>
      <c r="G346" s="82">
        <v>644</v>
      </c>
      <c r="H346" s="13" t="s">
        <v>275</v>
      </c>
      <c r="I346" s="83">
        <v>4106677</v>
      </c>
      <c r="J346" s="83"/>
      <c r="K346" s="83">
        <f t="shared" si="74"/>
        <v>4106677</v>
      </c>
      <c r="L346" s="83"/>
      <c r="M346" s="83"/>
      <c r="N346" s="83"/>
      <c r="O346" s="83">
        <f t="shared" si="75"/>
        <v>0</v>
      </c>
      <c r="P346" s="84"/>
      <c r="Q346" s="85">
        <f t="shared" si="72"/>
        <v>4106677</v>
      </c>
      <c r="R346" s="85">
        <f t="shared" si="72"/>
        <v>0</v>
      </c>
      <c r="S346" s="85">
        <f t="shared" si="72"/>
        <v>4106677</v>
      </c>
    </row>
    <row r="347" spans="2:19" x14ac:dyDescent="0.2">
      <c r="B347" s="48">
        <f t="shared" si="73"/>
        <v>5</v>
      </c>
      <c r="C347" s="13"/>
      <c r="D347" s="13"/>
      <c r="E347" s="13"/>
      <c r="F347" s="82"/>
      <c r="G347" s="82">
        <v>644</v>
      </c>
      <c r="H347" s="13" t="s">
        <v>423</v>
      </c>
      <c r="I347" s="83">
        <v>39600</v>
      </c>
      <c r="J347" s="83"/>
      <c r="K347" s="83">
        <f t="shared" si="74"/>
        <v>39600</v>
      </c>
      <c r="L347" s="83"/>
      <c r="M347" s="83"/>
      <c r="N347" s="83"/>
      <c r="O347" s="83">
        <f t="shared" si="75"/>
        <v>0</v>
      </c>
      <c r="P347" s="84"/>
      <c r="Q347" s="85">
        <f t="shared" si="72"/>
        <v>39600</v>
      </c>
      <c r="R347" s="85">
        <f t="shared" si="72"/>
        <v>0</v>
      </c>
      <c r="S347" s="85">
        <f t="shared" si="72"/>
        <v>39600</v>
      </c>
    </row>
    <row r="348" spans="2:19" x14ac:dyDescent="0.2">
      <c r="B348" s="48">
        <f t="shared" si="73"/>
        <v>6</v>
      </c>
      <c r="C348" s="13"/>
      <c r="D348" s="13"/>
      <c r="E348" s="13"/>
      <c r="F348" s="82"/>
      <c r="G348" s="82">
        <v>644</v>
      </c>
      <c r="H348" s="13" t="s">
        <v>617</v>
      </c>
      <c r="I348" s="83">
        <v>0</v>
      </c>
      <c r="J348" s="83">
        <v>113550</v>
      </c>
      <c r="K348" s="83">
        <f>J348</f>
        <v>113550</v>
      </c>
      <c r="L348" s="83"/>
      <c r="M348" s="83"/>
      <c r="N348" s="83"/>
      <c r="O348" s="83"/>
      <c r="P348" s="84"/>
      <c r="Q348" s="85">
        <f t="shared" ref="Q348" si="76">I348+M348</f>
        <v>0</v>
      </c>
      <c r="R348" s="85">
        <f t="shared" ref="R348" si="77">J348+N348</f>
        <v>113550</v>
      </c>
      <c r="S348" s="85">
        <f t="shared" ref="S348" si="78">K348+O348</f>
        <v>113550</v>
      </c>
    </row>
    <row r="349" spans="2:19" x14ac:dyDescent="0.2">
      <c r="B349" s="48">
        <f t="shared" si="73"/>
        <v>7</v>
      </c>
      <c r="C349" s="9"/>
      <c r="D349" s="9"/>
      <c r="E349" s="9"/>
      <c r="F349" s="61" t="s">
        <v>220</v>
      </c>
      <c r="G349" s="8">
        <v>710</v>
      </c>
      <c r="H349" s="9" t="s">
        <v>176</v>
      </c>
      <c r="I349" s="62"/>
      <c r="J349" s="62"/>
      <c r="K349" s="62">
        <f t="shared" si="74"/>
        <v>0</v>
      </c>
      <c r="L349" s="62"/>
      <c r="M349" s="62">
        <f>M350</f>
        <v>14000</v>
      </c>
      <c r="N349" s="62">
        <f>N350</f>
        <v>0</v>
      </c>
      <c r="O349" s="62">
        <f t="shared" si="75"/>
        <v>14000</v>
      </c>
      <c r="P349" s="63"/>
      <c r="Q349" s="64">
        <f t="shared" ref="Q349:Q379" si="79">I349+M349</f>
        <v>14000</v>
      </c>
      <c r="R349" s="64">
        <f t="shared" ref="R349:R379" si="80">J349+N349</f>
        <v>0</v>
      </c>
      <c r="S349" s="64">
        <f t="shared" ref="S349:S379" si="81">K349+O349</f>
        <v>14000</v>
      </c>
    </row>
    <row r="350" spans="2:19" x14ac:dyDescent="0.2">
      <c r="B350" s="48">
        <f t="shared" si="73"/>
        <v>8</v>
      </c>
      <c r="C350" s="11"/>
      <c r="D350" s="11"/>
      <c r="E350" s="11"/>
      <c r="F350" s="65" t="s">
        <v>220</v>
      </c>
      <c r="G350" s="10">
        <v>716</v>
      </c>
      <c r="H350" s="11" t="s">
        <v>216</v>
      </c>
      <c r="I350" s="66"/>
      <c r="J350" s="66"/>
      <c r="K350" s="66">
        <f t="shared" si="74"/>
        <v>0</v>
      </c>
      <c r="L350" s="66"/>
      <c r="M350" s="66">
        <f>M351+M352</f>
        <v>14000</v>
      </c>
      <c r="N350" s="66">
        <f>N351+N352</f>
        <v>0</v>
      </c>
      <c r="O350" s="66">
        <f t="shared" si="75"/>
        <v>14000</v>
      </c>
      <c r="P350" s="67"/>
      <c r="Q350" s="68">
        <f t="shared" si="79"/>
        <v>14000</v>
      </c>
      <c r="R350" s="68">
        <f t="shared" si="80"/>
        <v>0</v>
      </c>
      <c r="S350" s="68">
        <f t="shared" si="81"/>
        <v>14000</v>
      </c>
    </row>
    <row r="351" spans="2:19" x14ac:dyDescent="0.2">
      <c r="B351" s="48">
        <f t="shared" si="73"/>
        <v>9</v>
      </c>
      <c r="C351" s="13"/>
      <c r="D351" s="13"/>
      <c r="E351" s="13"/>
      <c r="F351" s="82"/>
      <c r="G351" s="82"/>
      <c r="H351" s="13" t="s">
        <v>344</v>
      </c>
      <c r="I351" s="83"/>
      <c r="J351" s="83"/>
      <c r="K351" s="83">
        <f t="shared" si="74"/>
        <v>0</v>
      </c>
      <c r="L351" s="83"/>
      <c r="M351" s="83">
        <v>10000</v>
      </c>
      <c r="N351" s="83"/>
      <c r="O351" s="83">
        <f t="shared" si="75"/>
        <v>10000</v>
      </c>
      <c r="P351" s="84"/>
      <c r="Q351" s="85">
        <f t="shared" si="79"/>
        <v>10000</v>
      </c>
      <c r="R351" s="85">
        <f t="shared" si="80"/>
        <v>0</v>
      </c>
      <c r="S351" s="85">
        <f t="shared" si="81"/>
        <v>10000</v>
      </c>
    </row>
    <row r="352" spans="2:19" x14ac:dyDescent="0.2">
      <c r="B352" s="48">
        <f t="shared" si="73"/>
        <v>10</v>
      </c>
      <c r="C352" s="13"/>
      <c r="D352" s="13"/>
      <c r="E352" s="13"/>
      <c r="F352" s="82"/>
      <c r="G352" s="82"/>
      <c r="H352" s="13" t="s">
        <v>348</v>
      </c>
      <c r="I352" s="83"/>
      <c r="J352" s="83"/>
      <c r="K352" s="83">
        <f t="shared" si="74"/>
        <v>0</v>
      </c>
      <c r="L352" s="83"/>
      <c r="M352" s="83">
        <v>4000</v>
      </c>
      <c r="N352" s="83"/>
      <c r="O352" s="83">
        <f t="shared" si="75"/>
        <v>4000</v>
      </c>
      <c r="P352" s="84"/>
      <c r="Q352" s="85">
        <f t="shared" si="79"/>
        <v>4000</v>
      </c>
      <c r="R352" s="85">
        <f t="shared" si="80"/>
        <v>0</v>
      </c>
      <c r="S352" s="85">
        <f t="shared" si="81"/>
        <v>4000</v>
      </c>
    </row>
    <row r="353" spans="2:19" ht="15" x14ac:dyDescent="0.2">
      <c r="B353" s="48">
        <f t="shared" si="73"/>
        <v>11</v>
      </c>
      <c r="C353" s="51">
        <v>2</v>
      </c>
      <c r="D353" s="435" t="s">
        <v>266</v>
      </c>
      <c r="E353" s="436"/>
      <c r="F353" s="436"/>
      <c r="G353" s="436"/>
      <c r="H353" s="436"/>
      <c r="I353" s="52">
        <f>I354+I374</f>
        <v>2997979</v>
      </c>
      <c r="J353" s="52">
        <f>J354+J374</f>
        <v>0</v>
      </c>
      <c r="K353" s="52">
        <f t="shared" si="74"/>
        <v>2997979</v>
      </c>
      <c r="L353" s="53"/>
      <c r="M353" s="52">
        <f>M354+M374</f>
        <v>39500</v>
      </c>
      <c r="N353" s="52">
        <f>N354+N374</f>
        <v>0</v>
      </c>
      <c r="O353" s="52">
        <f t="shared" si="75"/>
        <v>39500</v>
      </c>
      <c r="P353" s="54"/>
      <c r="Q353" s="72">
        <f t="shared" si="79"/>
        <v>3037479</v>
      </c>
      <c r="R353" s="72">
        <f t="shared" si="80"/>
        <v>0</v>
      </c>
      <c r="S353" s="72">
        <f t="shared" si="81"/>
        <v>3037479</v>
      </c>
    </row>
    <row r="354" spans="2:19" ht="15" x14ac:dyDescent="0.25">
      <c r="B354" s="48">
        <f t="shared" si="73"/>
        <v>12</v>
      </c>
      <c r="C354" s="69"/>
      <c r="D354" s="69">
        <v>1</v>
      </c>
      <c r="E354" s="433" t="s">
        <v>392</v>
      </c>
      <c r="F354" s="434"/>
      <c r="G354" s="434"/>
      <c r="H354" s="434"/>
      <c r="I354" s="70">
        <f>I355+I360</f>
        <v>2554380</v>
      </c>
      <c r="J354" s="70">
        <f>J355+J360</f>
        <v>0</v>
      </c>
      <c r="K354" s="70">
        <f t="shared" si="74"/>
        <v>2554380</v>
      </c>
      <c r="L354" s="58"/>
      <c r="M354" s="70">
        <f>M357+M360</f>
        <v>29500</v>
      </c>
      <c r="N354" s="70">
        <f>N357+N360</f>
        <v>0</v>
      </c>
      <c r="O354" s="70">
        <f t="shared" si="75"/>
        <v>29500</v>
      </c>
      <c r="P354" s="59"/>
      <c r="Q354" s="71">
        <f t="shared" si="79"/>
        <v>2583880</v>
      </c>
      <c r="R354" s="71">
        <f t="shared" si="80"/>
        <v>0</v>
      </c>
      <c r="S354" s="71">
        <f t="shared" si="81"/>
        <v>2583880</v>
      </c>
    </row>
    <row r="355" spans="2:19" x14ac:dyDescent="0.2">
      <c r="B355" s="48">
        <f t="shared" si="73"/>
        <v>13</v>
      </c>
      <c r="C355" s="9"/>
      <c r="D355" s="9"/>
      <c r="E355" s="9"/>
      <c r="F355" s="61" t="s">
        <v>220</v>
      </c>
      <c r="G355" s="8">
        <v>630</v>
      </c>
      <c r="H355" s="9" t="s">
        <v>122</v>
      </c>
      <c r="I355" s="62">
        <f>SUM(I356:I356)</f>
        <v>30400</v>
      </c>
      <c r="J355" s="62">
        <f>SUM(J356:J356)</f>
        <v>0</v>
      </c>
      <c r="K355" s="62">
        <f t="shared" si="74"/>
        <v>30400</v>
      </c>
      <c r="L355" s="62"/>
      <c r="M355" s="62"/>
      <c r="N355" s="62"/>
      <c r="O355" s="62">
        <f t="shared" si="75"/>
        <v>0</v>
      </c>
      <c r="P355" s="63"/>
      <c r="Q355" s="64">
        <f t="shared" si="79"/>
        <v>30400</v>
      </c>
      <c r="R355" s="64">
        <f t="shared" si="80"/>
        <v>0</v>
      </c>
      <c r="S355" s="64">
        <f t="shared" si="81"/>
        <v>30400</v>
      </c>
    </row>
    <row r="356" spans="2:19" x14ac:dyDescent="0.2">
      <c r="B356" s="48">
        <f t="shared" si="73"/>
        <v>14</v>
      </c>
      <c r="C356" s="11"/>
      <c r="D356" s="11"/>
      <c r="E356" s="11"/>
      <c r="F356" s="65"/>
      <c r="G356" s="10">
        <v>637</v>
      </c>
      <c r="H356" s="11" t="s">
        <v>123</v>
      </c>
      <c r="I356" s="66">
        <v>30400</v>
      </c>
      <c r="J356" s="66"/>
      <c r="K356" s="66">
        <f t="shared" si="74"/>
        <v>30400</v>
      </c>
      <c r="L356" s="66"/>
      <c r="M356" s="66"/>
      <c r="N356" s="66"/>
      <c r="O356" s="66">
        <f t="shared" si="75"/>
        <v>0</v>
      </c>
      <c r="P356" s="67"/>
      <c r="Q356" s="68">
        <f t="shared" si="79"/>
        <v>30400</v>
      </c>
      <c r="R356" s="68">
        <f t="shared" si="80"/>
        <v>0</v>
      </c>
      <c r="S356" s="68">
        <f t="shared" si="81"/>
        <v>30400</v>
      </c>
    </row>
    <row r="357" spans="2:19" x14ac:dyDescent="0.2">
      <c r="B357" s="48">
        <f t="shared" si="73"/>
        <v>15</v>
      </c>
      <c r="C357" s="9"/>
      <c r="D357" s="9"/>
      <c r="E357" s="9"/>
      <c r="F357" s="61" t="s">
        <v>220</v>
      </c>
      <c r="G357" s="8">
        <v>710</v>
      </c>
      <c r="H357" s="9" t="s">
        <v>176</v>
      </c>
      <c r="I357" s="62"/>
      <c r="J357" s="62"/>
      <c r="K357" s="62">
        <f t="shared" si="74"/>
        <v>0</v>
      </c>
      <c r="L357" s="62"/>
      <c r="M357" s="62">
        <f>M358</f>
        <v>20000</v>
      </c>
      <c r="N357" s="62">
        <f>N358</f>
        <v>0</v>
      </c>
      <c r="O357" s="62">
        <f t="shared" si="75"/>
        <v>20000</v>
      </c>
      <c r="P357" s="63"/>
      <c r="Q357" s="64">
        <f t="shared" si="79"/>
        <v>20000</v>
      </c>
      <c r="R357" s="64">
        <f t="shared" si="80"/>
        <v>0</v>
      </c>
      <c r="S357" s="64">
        <f t="shared" si="81"/>
        <v>20000</v>
      </c>
    </row>
    <row r="358" spans="2:19" x14ac:dyDescent="0.2">
      <c r="B358" s="48">
        <f t="shared" si="73"/>
        <v>16</v>
      </c>
      <c r="C358" s="11"/>
      <c r="D358" s="11"/>
      <c r="E358" s="11"/>
      <c r="F358" s="65"/>
      <c r="G358" s="10">
        <v>717</v>
      </c>
      <c r="H358" s="11" t="s">
        <v>183</v>
      </c>
      <c r="I358" s="66"/>
      <c r="J358" s="66"/>
      <c r="K358" s="66">
        <f t="shared" si="74"/>
        <v>0</v>
      </c>
      <c r="L358" s="66"/>
      <c r="M358" s="66">
        <f>M359</f>
        <v>20000</v>
      </c>
      <c r="N358" s="66">
        <f>N359</f>
        <v>0</v>
      </c>
      <c r="O358" s="66">
        <f t="shared" si="75"/>
        <v>20000</v>
      </c>
      <c r="P358" s="67"/>
      <c r="Q358" s="68">
        <f t="shared" si="79"/>
        <v>20000</v>
      </c>
      <c r="R358" s="68">
        <f t="shared" si="80"/>
        <v>0</v>
      </c>
      <c r="S358" s="68">
        <f t="shared" si="81"/>
        <v>20000</v>
      </c>
    </row>
    <row r="359" spans="2:19" x14ac:dyDescent="0.2">
      <c r="B359" s="48">
        <f t="shared" si="73"/>
        <v>17</v>
      </c>
      <c r="C359" s="81"/>
      <c r="D359" s="81"/>
      <c r="E359" s="13"/>
      <c r="F359" s="82"/>
      <c r="G359" s="82"/>
      <c r="H359" s="13" t="s">
        <v>557</v>
      </c>
      <c r="I359" s="83"/>
      <c r="J359" s="83"/>
      <c r="K359" s="83">
        <f t="shared" si="74"/>
        <v>0</v>
      </c>
      <c r="L359" s="83"/>
      <c r="M359" s="83">
        <v>20000</v>
      </c>
      <c r="N359" s="83"/>
      <c r="O359" s="83">
        <f t="shared" si="75"/>
        <v>20000</v>
      </c>
      <c r="P359" s="84"/>
      <c r="Q359" s="85">
        <f t="shared" si="79"/>
        <v>20000</v>
      </c>
      <c r="R359" s="85">
        <f t="shared" si="80"/>
        <v>0</v>
      </c>
      <c r="S359" s="85">
        <f t="shared" si="81"/>
        <v>20000</v>
      </c>
    </row>
    <row r="360" spans="2:19" ht="15" x14ac:dyDescent="0.25">
      <c r="B360" s="48">
        <f t="shared" si="73"/>
        <v>18</v>
      </c>
      <c r="C360" s="166"/>
      <c r="D360" s="166"/>
      <c r="E360" s="166">
        <v>2</v>
      </c>
      <c r="F360" s="167"/>
      <c r="G360" s="167"/>
      <c r="H360" s="166" t="s">
        <v>11</v>
      </c>
      <c r="I360" s="168">
        <f>I361+I362+I363+I370</f>
        <v>2523980</v>
      </c>
      <c r="J360" s="168">
        <f>J361+J362+J363+J370</f>
        <v>0</v>
      </c>
      <c r="K360" s="168">
        <f t="shared" si="74"/>
        <v>2523980</v>
      </c>
      <c r="L360" s="58"/>
      <c r="M360" s="168">
        <f>M371</f>
        <v>9500</v>
      </c>
      <c r="N360" s="168">
        <f>N371</f>
        <v>0</v>
      </c>
      <c r="O360" s="168">
        <f t="shared" si="75"/>
        <v>9500</v>
      </c>
      <c r="P360" s="59"/>
      <c r="Q360" s="169">
        <f t="shared" si="79"/>
        <v>2533480</v>
      </c>
      <c r="R360" s="169">
        <f t="shared" si="80"/>
        <v>0</v>
      </c>
      <c r="S360" s="169">
        <f t="shared" si="81"/>
        <v>2533480</v>
      </c>
    </row>
    <row r="361" spans="2:19" x14ac:dyDescent="0.2">
      <c r="B361" s="48">
        <f t="shared" si="73"/>
        <v>19</v>
      </c>
      <c r="C361" s="9"/>
      <c r="D361" s="9"/>
      <c r="E361" s="9"/>
      <c r="F361" s="61" t="s">
        <v>220</v>
      </c>
      <c r="G361" s="8">
        <v>610</v>
      </c>
      <c r="H361" s="9" t="s">
        <v>132</v>
      </c>
      <c r="I361" s="62">
        <v>107100</v>
      </c>
      <c r="J361" s="62"/>
      <c r="K361" s="62">
        <f t="shared" si="74"/>
        <v>107100</v>
      </c>
      <c r="L361" s="62"/>
      <c r="M361" s="62"/>
      <c r="N361" s="62"/>
      <c r="O361" s="62">
        <f t="shared" si="75"/>
        <v>0</v>
      </c>
      <c r="P361" s="63"/>
      <c r="Q361" s="64">
        <f t="shared" si="79"/>
        <v>107100</v>
      </c>
      <c r="R361" s="64">
        <f t="shared" si="80"/>
        <v>0</v>
      </c>
      <c r="S361" s="64">
        <f t="shared" si="81"/>
        <v>107100</v>
      </c>
    </row>
    <row r="362" spans="2:19" x14ac:dyDescent="0.2">
      <c r="B362" s="48">
        <f t="shared" si="73"/>
        <v>20</v>
      </c>
      <c r="C362" s="9"/>
      <c r="D362" s="9"/>
      <c r="E362" s="9"/>
      <c r="F362" s="61" t="s">
        <v>220</v>
      </c>
      <c r="G362" s="8">
        <v>620</v>
      </c>
      <c r="H362" s="9" t="s">
        <v>125</v>
      </c>
      <c r="I362" s="62">
        <v>41555</v>
      </c>
      <c r="J362" s="62"/>
      <c r="K362" s="62">
        <f t="shared" si="74"/>
        <v>41555</v>
      </c>
      <c r="L362" s="62"/>
      <c r="M362" s="62"/>
      <c r="N362" s="62"/>
      <c r="O362" s="62">
        <f t="shared" si="75"/>
        <v>0</v>
      </c>
      <c r="P362" s="63"/>
      <c r="Q362" s="64">
        <f t="shared" si="79"/>
        <v>41555</v>
      </c>
      <c r="R362" s="64">
        <f t="shared" si="80"/>
        <v>0</v>
      </c>
      <c r="S362" s="64">
        <f t="shared" si="81"/>
        <v>41555</v>
      </c>
    </row>
    <row r="363" spans="2:19" x14ac:dyDescent="0.2">
      <c r="B363" s="48">
        <f t="shared" si="73"/>
        <v>21</v>
      </c>
      <c r="C363" s="9"/>
      <c r="D363" s="9"/>
      <c r="E363" s="9"/>
      <c r="F363" s="61" t="s">
        <v>220</v>
      </c>
      <c r="G363" s="8">
        <v>630</v>
      </c>
      <c r="H363" s="9" t="s">
        <v>122</v>
      </c>
      <c r="I363" s="62">
        <f>I369+I368+I367+I366+I365+I364</f>
        <v>2367935</v>
      </c>
      <c r="J363" s="62">
        <f>J369+J368+J367+J366+J365+J364</f>
        <v>0</v>
      </c>
      <c r="K363" s="62">
        <f t="shared" si="74"/>
        <v>2367935</v>
      </c>
      <c r="L363" s="62"/>
      <c r="M363" s="62"/>
      <c r="N363" s="62"/>
      <c r="O363" s="62">
        <f t="shared" si="75"/>
        <v>0</v>
      </c>
      <c r="P363" s="63"/>
      <c r="Q363" s="64">
        <f t="shared" si="79"/>
        <v>2367935</v>
      </c>
      <c r="R363" s="64">
        <f t="shared" si="80"/>
        <v>0</v>
      </c>
      <c r="S363" s="64">
        <f t="shared" si="81"/>
        <v>2367935</v>
      </c>
    </row>
    <row r="364" spans="2:19" x14ac:dyDescent="0.2">
      <c r="B364" s="48">
        <f t="shared" si="73"/>
        <v>22</v>
      </c>
      <c r="C364" s="9"/>
      <c r="D364" s="9"/>
      <c r="E364" s="9"/>
      <c r="F364" s="61"/>
      <c r="G364" s="10">
        <v>632</v>
      </c>
      <c r="H364" s="11" t="s">
        <v>135</v>
      </c>
      <c r="I364" s="66">
        <v>1400</v>
      </c>
      <c r="J364" s="66"/>
      <c r="K364" s="66">
        <f t="shared" si="74"/>
        <v>1400</v>
      </c>
      <c r="L364" s="62"/>
      <c r="M364" s="62"/>
      <c r="N364" s="62"/>
      <c r="O364" s="62">
        <f t="shared" si="75"/>
        <v>0</v>
      </c>
      <c r="P364" s="63"/>
      <c r="Q364" s="64">
        <f t="shared" si="79"/>
        <v>1400</v>
      </c>
      <c r="R364" s="64">
        <f t="shared" si="80"/>
        <v>0</v>
      </c>
      <c r="S364" s="64">
        <f t="shared" si="81"/>
        <v>1400</v>
      </c>
    </row>
    <row r="365" spans="2:19" x14ac:dyDescent="0.2">
      <c r="B365" s="48">
        <f t="shared" si="73"/>
        <v>23</v>
      </c>
      <c r="C365" s="11"/>
      <c r="D365" s="11"/>
      <c r="E365" s="11"/>
      <c r="F365" s="65"/>
      <c r="G365" s="10">
        <v>633</v>
      </c>
      <c r="H365" s="11" t="s">
        <v>126</v>
      </c>
      <c r="I365" s="66">
        <f>1000+23000+1000+2000</f>
        <v>27000</v>
      </c>
      <c r="J365" s="66"/>
      <c r="K365" s="66">
        <f t="shared" si="74"/>
        <v>27000</v>
      </c>
      <c r="L365" s="66"/>
      <c r="M365" s="66"/>
      <c r="N365" s="66"/>
      <c r="O365" s="66">
        <f t="shared" si="75"/>
        <v>0</v>
      </c>
      <c r="P365" s="67"/>
      <c r="Q365" s="68">
        <f t="shared" si="79"/>
        <v>27000</v>
      </c>
      <c r="R365" s="68">
        <f t="shared" si="80"/>
        <v>0</v>
      </c>
      <c r="S365" s="68">
        <f t="shared" si="81"/>
        <v>27000</v>
      </c>
    </row>
    <row r="366" spans="2:19" x14ac:dyDescent="0.2">
      <c r="B366" s="48">
        <f t="shared" si="73"/>
        <v>24</v>
      </c>
      <c r="C366" s="11"/>
      <c r="D366" s="11"/>
      <c r="E366" s="11"/>
      <c r="F366" s="65"/>
      <c r="G366" s="10">
        <v>634</v>
      </c>
      <c r="H366" s="11" t="s">
        <v>133</v>
      </c>
      <c r="I366" s="66">
        <f>9600+7000+550+500</f>
        <v>17650</v>
      </c>
      <c r="J366" s="66"/>
      <c r="K366" s="66">
        <f t="shared" si="74"/>
        <v>17650</v>
      </c>
      <c r="L366" s="66"/>
      <c r="M366" s="66"/>
      <c r="N366" s="66"/>
      <c r="O366" s="66">
        <f t="shared" si="75"/>
        <v>0</v>
      </c>
      <c r="P366" s="67"/>
      <c r="Q366" s="68">
        <f t="shared" si="79"/>
        <v>17650</v>
      </c>
      <c r="R366" s="68">
        <f t="shared" si="80"/>
        <v>0</v>
      </c>
      <c r="S366" s="68">
        <f t="shared" si="81"/>
        <v>17650</v>
      </c>
    </row>
    <row r="367" spans="2:19" x14ac:dyDescent="0.2">
      <c r="B367" s="48">
        <f t="shared" si="73"/>
        <v>25</v>
      </c>
      <c r="C367" s="11"/>
      <c r="D367" s="11"/>
      <c r="E367" s="11"/>
      <c r="F367" s="65"/>
      <c r="G367" s="10">
        <v>635</v>
      </c>
      <c r="H367" s="11" t="s">
        <v>134</v>
      </c>
      <c r="I367" s="66">
        <f>3000+1550000+1000+756000</f>
        <v>2310000</v>
      </c>
      <c r="J367" s="66"/>
      <c r="K367" s="66">
        <f t="shared" si="74"/>
        <v>2310000</v>
      </c>
      <c r="L367" s="66"/>
      <c r="M367" s="66"/>
      <c r="N367" s="66"/>
      <c r="O367" s="66">
        <f t="shared" si="75"/>
        <v>0</v>
      </c>
      <c r="P367" s="67"/>
      <c r="Q367" s="68">
        <f t="shared" si="79"/>
        <v>2310000</v>
      </c>
      <c r="R367" s="68">
        <f t="shared" si="80"/>
        <v>0</v>
      </c>
      <c r="S367" s="68">
        <f t="shared" si="81"/>
        <v>2310000</v>
      </c>
    </row>
    <row r="368" spans="2:19" x14ac:dyDescent="0.2">
      <c r="B368" s="48">
        <f t="shared" si="73"/>
        <v>26</v>
      </c>
      <c r="C368" s="11"/>
      <c r="D368" s="11"/>
      <c r="E368" s="11"/>
      <c r="F368" s="65"/>
      <c r="G368" s="10">
        <v>636</v>
      </c>
      <c r="H368" s="11" t="s">
        <v>127</v>
      </c>
      <c r="I368" s="66">
        <v>500</v>
      </c>
      <c r="J368" s="66"/>
      <c r="K368" s="66">
        <f t="shared" si="74"/>
        <v>500</v>
      </c>
      <c r="L368" s="66"/>
      <c r="M368" s="66"/>
      <c r="N368" s="66"/>
      <c r="O368" s="66">
        <f t="shared" si="75"/>
        <v>0</v>
      </c>
      <c r="P368" s="67"/>
      <c r="Q368" s="68">
        <f t="shared" si="79"/>
        <v>500</v>
      </c>
      <c r="R368" s="68">
        <f t="shared" si="80"/>
        <v>0</v>
      </c>
      <c r="S368" s="68">
        <f t="shared" si="81"/>
        <v>500</v>
      </c>
    </row>
    <row r="369" spans="2:19" x14ac:dyDescent="0.2">
      <c r="B369" s="48">
        <f t="shared" si="73"/>
        <v>27</v>
      </c>
      <c r="C369" s="11"/>
      <c r="D369" s="11"/>
      <c r="E369" s="11"/>
      <c r="F369" s="65"/>
      <c r="G369" s="10">
        <v>637</v>
      </c>
      <c r="H369" s="11" t="s">
        <v>123</v>
      </c>
      <c r="I369" s="66">
        <f>1000+10400+1500+1775+1000+1610+3600-9500</f>
        <v>11385</v>
      </c>
      <c r="J369" s="66"/>
      <c r="K369" s="66">
        <f t="shared" si="74"/>
        <v>11385</v>
      </c>
      <c r="L369" s="66"/>
      <c r="M369" s="66"/>
      <c r="N369" s="66"/>
      <c r="O369" s="66">
        <f t="shared" si="75"/>
        <v>0</v>
      </c>
      <c r="P369" s="67"/>
      <c r="Q369" s="68">
        <f t="shared" si="79"/>
        <v>11385</v>
      </c>
      <c r="R369" s="68">
        <f t="shared" si="80"/>
        <v>0</v>
      </c>
      <c r="S369" s="68">
        <f t="shared" si="81"/>
        <v>11385</v>
      </c>
    </row>
    <row r="370" spans="2:19" x14ac:dyDescent="0.2">
      <c r="B370" s="48">
        <f t="shared" si="73"/>
        <v>28</v>
      </c>
      <c r="C370" s="9"/>
      <c r="D370" s="9"/>
      <c r="E370" s="9"/>
      <c r="F370" s="61" t="s">
        <v>220</v>
      </c>
      <c r="G370" s="8">
        <v>640</v>
      </c>
      <c r="H370" s="9" t="s">
        <v>130</v>
      </c>
      <c r="I370" s="62">
        <f>2190+4200+1000</f>
        <v>7390</v>
      </c>
      <c r="J370" s="62"/>
      <c r="K370" s="62">
        <f t="shared" si="74"/>
        <v>7390</v>
      </c>
      <c r="L370" s="62"/>
      <c r="M370" s="62"/>
      <c r="N370" s="62"/>
      <c r="O370" s="62">
        <f t="shared" si="75"/>
        <v>0</v>
      </c>
      <c r="P370" s="63"/>
      <c r="Q370" s="64">
        <f t="shared" si="79"/>
        <v>7390</v>
      </c>
      <c r="R370" s="64">
        <f t="shared" si="80"/>
        <v>0</v>
      </c>
      <c r="S370" s="64">
        <f t="shared" si="81"/>
        <v>7390</v>
      </c>
    </row>
    <row r="371" spans="2:19" x14ac:dyDescent="0.2">
      <c r="B371" s="48">
        <f t="shared" si="73"/>
        <v>29</v>
      </c>
      <c r="C371" s="9"/>
      <c r="D371" s="9"/>
      <c r="E371" s="9"/>
      <c r="F371" s="61" t="s">
        <v>220</v>
      </c>
      <c r="G371" s="8">
        <v>710</v>
      </c>
      <c r="H371" s="9" t="s">
        <v>176</v>
      </c>
      <c r="I371" s="62"/>
      <c r="J371" s="62"/>
      <c r="K371" s="62">
        <f t="shared" si="74"/>
        <v>0</v>
      </c>
      <c r="L371" s="62"/>
      <c r="M371" s="62">
        <f>M372</f>
        <v>9500</v>
      </c>
      <c r="N371" s="62">
        <f>N372</f>
        <v>0</v>
      </c>
      <c r="O371" s="62">
        <f t="shared" si="75"/>
        <v>9500</v>
      </c>
      <c r="P371" s="63"/>
      <c r="Q371" s="64">
        <f t="shared" si="79"/>
        <v>9500</v>
      </c>
      <c r="R371" s="64">
        <f t="shared" si="80"/>
        <v>0</v>
      </c>
      <c r="S371" s="64">
        <f t="shared" si="81"/>
        <v>9500</v>
      </c>
    </row>
    <row r="372" spans="2:19" x14ac:dyDescent="0.2">
      <c r="B372" s="48">
        <f t="shared" si="73"/>
        <v>30</v>
      </c>
      <c r="C372" s="9"/>
      <c r="D372" s="9"/>
      <c r="E372" s="9"/>
      <c r="F372" s="65" t="s">
        <v>220</v>
      </c>
      <c r="G372" s="10">
        <v>716</v>
      </c>
      <c r="H372" s="11" t="s">
        <v>216</v>
      </c>
      <c r="I372" s="66"/>
      <c r="J372" s="66"/>
      <c r="K372" s="66">
        <f t="shared" si="74"/>
        <v>0</v>
      </c>
      <c r="L372" s="66"/>
      <c r="M372" s="66">
        <f>M373</f>
        <v>9500</v>
      </c>
      <c r="N372" s="66">
        <f>N373</f>
        <v>0</v>
      </c>
      <c r="O372" s="66">
        <f t="shared" si="75"/>
        <v>9500</v>
      </c>
      <c r="P372" s="67"/>
      <c r="Q372" s="68">
        <f t="shared" si="79"/>
        <v>9500</v>
      </c>
      <c r="R372" s="68">
        <f t="shared" si="80"/>
        <v>0</v>
      </c>
      <c r="S372" s="68">
        <f t="shared" si="81"/>
        <v>9500</v>
      </c>
    </row>
    <row r="373" spans="2:19" x14ac:dyDescent="0.2">
      <c r="B373" s="48">
        <f t="shared" si="73"/>
        <v>31</v>
      </c>
      <c r="C373" s="9"/>
      <c r="D373" s="9"/>
      <c r="E373" s="9"/>
      <c r="F373" s="82"/>
      <c r="G373" s="82"/>
      <c r="H373" s="13" t="s">
        <v>581</v>
      </c>
      <c r="I373" s="83"/>
      <c r="J373" s="83"/>
      <c r="K373" s="83">
        <f t="shared" si="74"/>
        <v>0</v>
      </c>
      <c r="L373" s="83"/>
      <c r="M373" s="83">
        <v>9500</v>
      </c>
      <c r="N373" s="83"/>
      <c r="O373" s="83">
        <f t="shared" si="75"/>
        <v>9500</v>
      </c>
      <c r="P373" s="84"/>
      <c r="Q373" s="85">
        <f t="shared" si="79"/>
        <v>9500</v>
      </c>
      <c r="R373" s="85">
        <f t="shared" si="80"/>
        <v>0</v>
      </c>
      <c r="S373" s="85">
        <f t="shared" si="81"/>
        <v>9500</v>
      </c>
    </row>
    <row r="374" spans="2:19" ht="15" x14ac:dyDescent="0.25">
      <c r="B374" s="48">
        <f t="shared" si="73"/>
        <v>32</v>
      </c>
      <c r="C374" s="69"/>
      <c r="D374" s="69">
        <v>2</v>
      </c>
      <c r="E374" s="433" t="s">
        <v>393</v>
      </c>
      <c r="F374" s="434"/>
      <c r="G374" s="434"/>
      <c r="H374" s="434"/>
      <c r="I374" s="70">
        <f>I375</f>
        <v>443599</v>
      </c>
      <c r="J374" s="70">
        <f>J375</f>
        <v>0</v>
      </c>
      <c r="K374" s="70">
        <f t="shared" si="74"/>
        <v>443599</v>
      </c>
      <c r="L374" s="58"/>
      <c r="M374" s="70">
        <f>M380</f>
        <v>10000</v>
      </c>
      <c r="N374" s="70">
        <f>N380</f>
        <v>0</v>
      </c>
      <c r="O374" s="70">
        <f t="shared" si="75"/>
        <v>10000</v>
      </c>
      <c r="P374" s="59"/>
      <c r="Q374" s="71">
        <f t="shared" si="79"/>
        <v>453599</v>
      </c>
      <c r="R374" s="71">
        <f t="shared" si="80"/>
        <v>0</v>
      </c>
      <c r="S374" s="71">
        <f t="shared" si="81"/>
        <v>453599</v>
      </c>
    </row>
    <row r="375" spans="2:19" x14ac:dyDescent="0.2">
      <c r="B375" s="48">
        <f t="shared" si="73"/>
        <v>33</v>
      </c>
      <c r="C375" s="9"/>
      <c r="D375" s="9"/>
      <c r="E375" s="9"/>
      <c r="F375" s="61" t="s">
        <v>220</v>
      </c>
      <c r="G375" s="8">
        <v>630</v>
      </c>
      <c r="H375" s="9" t="s">
        <v>122</v>
      </c>
      <c r="I375" s="62">
        <f>SUM(I376:I379)</f>
        <v>443599</v>
      </c>
      <c r="J375" s="62">
        <f>SUM(J376:J379)</f>
        <v>0</v>
      </c>
      <c r="K375" s="62">
        <f t="shared" si="74"/>
        <v>443599</v>
      </c>
      <c r="L375" s="62"/>
      <c r="M375" s="62"/>
      <c r="N375" s="62"/>
      <c r="O375" s="62">
        <f t="shared" si="75"/>
        <v>0</v>
      </c>
      <c r="P375" s="63"/>
      <c r="Q375" s="64">
        <f t="shared" si="79"/>
        <v>443599</v>
      </c>
      <c r="R375" s="64">
        <f t="shared" si="80"/>
        <v>0</v>
      </c>
      <c r="S375" s="64">
        <f t="shared" si="81"/>
        <v>443599</v>
      </c>
    </row>
    <row r="376" spans="2:19" x14ac:dyDescent="0.2">
      <c r="B376" s="48">
        <f t="shared" ref="B376:B407" si="82">B375+1</f>
        <v>34</v>
      </c>
      <c r="C376" s="11"/>
      <c r="D376" s="11"/>
      <c r="E376" s="11"/>
      <c r="F376" s="65"/>
      <c r="G376" s="10">
        <v>632</v>
      </c>
      <c r="H376" s="11" t="s">
        <v>135</v>
      </c>
      <c r="I376" s="66">
        <v>200000</v>
      </c>
      <c r="J376" s="66">
        <v>-200000</v>
      </c>
      <c r="K376" s="66">
        <f t="shared" si="74"/>
        <v>0</v>
      </c>
      <c r="L376" s="66"/>
      <c r="M376" s="66"/>
      <c r="N376" s="66"/>
      <c r="O376" s="66">
        <f t="shared" si="75"/>
        <v>0</v>
      </c>
      <c r="P376" s="67"/>
      <c r="Q376" s="68">
        <f t="shared" si="79"/>
        <v>200000</v>
      </c>
      <c r="R376" s="68">
        <f t="shared" si="80"/>
        <v>-200000</v>
      </c>
      <c r="S376" s="68">
        <f t="shared" si="81"/>
        <v>0</v>
      </c>
    </row>
    <row r="377" spans="2:19" x14ac:dyDescent="0.2">
      <c r="B377" s="48">
        <f t="shared" si="82"/>
        <v>35</v>
      </c>
      <c r="C377" s="11"/>
      <c r="D377" s="11"/>
      <c r="E377" s="11"/>
      <c r="F377" s="65"/>
      <c r="G377" s="10">
        <v>633</v>
      </c>
      <c r="H377" s="11" t="s">
        <v>126</v>
      </c>
      <c r="I377" s="66">
        <v>8000</v>
      </c>
      <c r="J377" s="66"/>
      <c r="K377" s="66">
        <f t="shared" si="74"/>
        <v>8000</v>
      </c>
      <c r="L377" s="66"/>
      <c r="M377" s="66"/>
      <c r="N377" s="66"/>
      <c r="O377" s="66">
        <f t="shared" si="75"/>
        <v>0</v>
      </c>
      <c r="P377" s="67"/>
      <c r="Q377" s="68">
        <f t="shared" si="79"/>
        <v>8000</v>
      </c>
      <c r="R377" s="68">
        <f t="shared" si="80"/>
        <v>0</v>
      </c>
      <c r="S377" s="68">
        <f t="shared" si="81"/>
        <v>8000</v>
      </c>
    </row>
    <row r="378" spans="2:19" x14ac:dyDescent="0.2">
      <c r="B378" s="48">
        <f t="shared" si="82"/>
        <v>36</v>
      </c>
      <c r="C378" s="11"/>
      <c r="D378" s="11"/>
      <c r="E378" s="11"/>
      <c r="F378" s="65"/>
      <c r="G378" s="10">
        <v>635</v>
      </c>
      <c r="H378" s="11" t="s">
        <v>134</v>
      </c>
      <c r="I378" s="66">
        <f>180183+7416</f>
        <v>187599</v>
      </c>
      <c r="J378" s="66"/>
      <c r="K378" s="66">
        <f t="shared" si="74"/>
        <v>187599</v>
      </c>
      <c r="L378" s="66"/>
      <c r="M378" s="66"/>
      <c r="N378" s="66"/>
      <c r="O378" s="66">
        <f t="shared" si="75"/>
        <v>0</v>
      </c>
      <c r="P378" s="67"/>
      <c r="Q378" s="68">
        <f t="shared" si="79"/>
        <v>187599</v>
      </c>
      <c r="R378" s="68">
        <f t="shared" si="80"/>
        <v>0</v>
      </c>
      <c r="S378" s="68">
        <f t="shared" si="81"/>
        <v>187599</v>
      </c>
    </row>
    <row r="379" spans="2:19" x14ac:dyDescent="0.2">
      <c r="B379" s="48">
        <f t="shared" si="82"/>
        <v>37</v>
      </c>
      <c r="C379" s="11"/>
      <c r="D379" s="11"/>
      <c r="E379" s="11"/>
      <c r="F379" s="65"/>
      <c r="G379" s="10">
        <v>637</v>
      </c>
      <c r="H379" s="11" t="s">
        <v>123</v>
      </c>
      <c r="I379" s="66">
        <v>48000</v>
      </c>
      <c r="J379" s="66">
        <v>200000</v>
      </c>
      <c r="K379" s="66">
        <f t="shared" si="74"/>
        <v>248000</v>
      </c>
      <c r="L379" s="66"/>
      <c r="M379" s="66"/>
      <c r="N379" s="66"/>
      <c r="O379" s="66">
        <f t="shared" si="75"/>
        <v>0</v>
      </c>
      <c r="P379" s="67"/>
      <c r="Q379" s="68">
        <f t="shared" si="79"/>
        <v>48000</v>
      </c>
      <c r="R379" s="68">
        <f t="shared" si="80"/>
        <v>200000</v>
      </c>
      <c r="S379" s="68">
        <f t="shared" si="81"/>
        <v>248000</v>
      </c>
    </row>
    <row r="380" spans="2:19" x14ac:dyDescent="0.2">
      <c r="B380" s="48">
        <f t="shared" si="82"/>
        <v>38</v>
      </c>
      <c r="C380" s="9"/>
      <c r="D380" s="9"/>
      <c r="E380" s="9"/>
      <c r="F380" s="61" t="s">
        <v>220</v>
      </c>
      <c r="G380" s="8">
        <v>710</v>
      </c>
      <c r="H380" s="9" t="s">
        <v>176</v>
      </c>
      <c r="I380" s="62"/>
      <c r="J380" s="62"/>
      <c r="K380" s="62">
        <f t="shared" si="74"/>
        <v>0</v>
      </c>
      <c r="L380" s="62"/>
      <c r="M380" s="62">
        <f>M381</f>
        <v>10000</v>
      </c>
      <c r="N380" s="62">
        <f>N381</f>
        <v>0</v>
      </c>
      <c r="O380" s="62">
        <f t="shared" si="75"/>
        <v>10000</v>
      </c>
      <c r="P380" s="63"/>
      <c r="Q380" s="64">
        <f t="shared" ref="Q380:Q411" si="83">I380+M380</f>
        <v>10000</v>
      </c>
      <c r="R380" s="64">
        <f t="shared" ref="R380:R411" si="84">J380+N380</f>
        <v>0</v>
      </c>
      <c r="S380" s="64">
        <f t="shared" ref="S380:S411" si="85">K380+O380</f>
        <v>10000</v>
      </c>
    </row>
    <row r="381" spans="2:19" x14ac:dyDescent="0.2">
      <c r="B381" s="48">
        <f t="shared" si="82"/>
        <v>39</v>
      </c>
      <c r="C381" s="11"/>
      <c r="D381" s="11"/>
      <c r="E381" s="11"/>
      <c r="F381" s="65"/>
      <c r="G381" s="10">
        <v>716</v>
      </c>
      <c r="H381" s="11" t="s">
        <v>216</v>
      </c>
      <c r="I381" s="66"/>
      <c r="J381" s="66"/>
      <c r="K381" s="66">
        <f t="shared" si="74"/>
        <v>0</v>
      </c>
      <c r="L381" s="66"/>
      <c r="M381" s="66">
        <f>M382</f>
        <v>10000</v>
      </c>
      <c r="N381" s="66">
        <f>N382</f>
        <v>0</v>
      </c>
      <c r="O381" s="66">
        <f t="shared" si="75"/>
        <v>10000</v>
      </c>
      <c r="P381" s="67"/>
      <c r="Q381" s="68">
        <f t="shared" si="83"/>
        <v>10000</v>
      </c>
      <c r="R381" s="68">
        <f t="shared" si="84"/>
        <v>0</v>
      </c>
      <c r="S381" s="68">
        <f t="shared" si="85"/>
        <v>10000</v>
      </c>
    </row>
    <row r="382" spans="2:19" x14ac:dyDescent="0.2">
      <c r="B382" s="48">
        <f t="shared" si="82"/>
        <v>40</v>
      </c>
      <c r="C382" s="81"/>
      <c r="D382" s="81"/>
      <c r="E382" s="81"/>
      <c r="F382" s="82"/>
      <c r="G382" s="82"/>
      <c r="H382" s="13" t="s">
        <v>509</v>
      </c>
      <c r="I382" s="83"/>
      <c r="J382" s="83"/>
      <c r="K382" s="83">
        <f t="shared" si="74"/>
        <v>0</v>
      </c>
      <c r="L382" s="83"/>
      <c r="M382" s="83">
        <v>10000</v>
      </c>
      <c r="N382" s="83"/>
      <c r="O382" s="83">
        <f t="shared" si="75"/>
        <v>10000</v>
      </c>
      <c r="P382" s="84"/>
      <c r="Q382" s="85">
        <f t="shared" si="83"/>
        <v>10000</v>
      </c>
      <c r="R382" s="85">
        <f t="shared" si="84"/>
        <v>0</v>
      </c>
      <c r="S382" s="85">
        <f t="shared" si="85"/>
        <v>10000</v>
      </c>
    </row>
    <row r="383" spans="2:19" ht="15" x14ac:dyDescent="0.2">
      <c r="B383" s="48">
        <f t="shared" si="82"/>
        <v>41</v>
      </c>
      <c r="C383" s="51">
        <v>3</v>
      </c>
      <c r="D383" s="435" t="s">
        <v>226</v>
      </c>
      <c r="E383" s="436"/>
      <c r="F383" s="436"/>
      <c r="G383" s="436"/>
      <c r="H383" s="436"/>
      <c r="I383" s="52"/>
      <c r="J383" s="52"/>
      <c r="K383" s="52">
        <f t="shared" si="74"/>
        <v>0</v>
      </c>
      <c r="L383" s="53"/>
      <c r="M383" s="52">
        <f>M384</f>
        <v>2346433</v>
      </c>
      <c r="N383" s="52">
        <f>N384</f>
        <v>1232000</v>
      </c>
      <c r="O383" s="52">
        <f t="shared" si="75"/>
        <v>3578433</v>
      </c>
      <c r="P383" s="54"/>
      <c r="Q383" s="72">
        <f t="shared" si="83"/>
        <v>2346433</v>
      </c>
      <c r="R383" s="72">
        <f t="shared" si="84"/>
        <v>1232000</v>
      </c>
      <c r="S383" s="72">
        <f t="shared" si="85"/>
        <v>3578433</v>
      </c>
    </row>
    <row r="384" spans="2:19" x14ac:dyDescent="0.2">
      <c r="B384" s="48">
        <f t="shared" si="82"/>
        <v>42</v>
      </c>
      <c r="C384" s="9"/>
      <c r="D384" s="9"/>
      <c r="E384" s="9"/>
      <c r="F384" s="61" t="s">
        <v>220</v>
      </c>
      <c r="G384" s="8">
        <v>710</v>
      </c>
      <c r="H384" s="9" t="s">
        <v>176</v>
      </c>
      <c r="I384" s="62"/>
      <c r="J384" s="62"/>
      <c r="K384" s="62">
        <f t="shared" si="74"/>
        <v>0</v>
      </c>
      <c r="L384" s="62"/>
      <c r="M384" s="62">
        <f>M385+M420+M444</f>
        <v>2346433</v>
      </c>
      <c r="N384" s="62">
        <f>N385+N420</f>
        <v>1232000</v>
      </c>
      <c r="O384" s="62">
        <f t="shared" si="75"/>
        <v>3578433</v>
      </c>
      <c r="P384" s="63"/>
      <c r="Q384" s="64">
        <f t="shared" si="83"/>
        <v>2346433</v>
      </c>
      <c r="R384" s="64">
        <f t="shared" si="84"/>
        <v>1232000</v>
      </c>
      <c r="S384" s="64">
        <f t="shared" si="85"/>
        <v>3578433</v>
      </c>
    </row>
    <row r="385" spans="2:19" x14ac:dyDescent="0.2">
      <c r="B385" s="48">
        <f t="shared" si="82"/>
        <v>43</v>
      </c>
      <c r="C385" s="170"/>
      <c r="D385" s="170"/>
      <c r="E385" s="170"/>
      <c r="F385" s="171"/>
      <c r="G385" s="172">
        <v>716</v>
      </c>
      <c r="H385" s="170" t="s">
        <v>216</v>
      </c>
      <c r="I385" s="173"/>
      <c r="J385" s="173"/>
      <c r="K385" s="173">
        <f t="shared" si="74"/>
        <v>0</v>
      </c>
      <c r="L385" s="66"/>
      <c r="M385" s="173">
        <f>SUM(M386:M419)</f>
        <v>1031157</v>
      </c>
      <c r="N385" s="173">
        <f>SUM(N386:N419)</f>
        <v>39000</v>
      </c>
      <c r="O385" s="173">
        <f t="shared" si="75"/>
        <v>1070157</v>
      </c>
      <c r="P385" s="67"/>
      <c r="Q385" s="174">
        <f t="shared" si="83"/>
        <v>1031157</v>
      </c>
      <c r="R385" s="174">
        <f t="shared" si="84"/>
        <v>39000</v>
      </c>
      <c r="S385" s="174">
        <f t="shared" si="85"/>
        <v>1070157</v>
      </c>
    </row>
    <row r="386" spans="2:19" x14ac:dyDescent="0.2">
      <c r="B386" s="48">
        <f t="shared" si="82"/>
        <v>44</v>
      </c>
      <c r="C386" s="81"/>
      <c r="D386" s="81"/>
      <c r="E386" s="81"/>
      <c r="F386" s="82"/>
      <c r="G386" s="82"/>
      <c r="H386" s="13" t="s">
        <v>301</v>
      </c>
      <c r="I386" s="83"/>
      <c r="J386" s="175"/>
      <c r="K386" s="175"/>
      <c r="L386" s="83"/>
      <c r="M386" s="83">
        <v>26961</v>
      </c>
      <c r="N386" s="83"/>
      <c r="O386" s="83">
        <f t="shared" si="75"/>
        <v>26961</v>
      </c>
      <c r="P386" s="84"/>
      <c r="Q386" s="85">
        <f t="shared" si="83"/>
        <v>26961</v>
      </c>
      <c r="R386" s="85">
        <f t="shared" si="84"/>
        <v>0</v>
      </c>
      <c r="S386" s="85">
        <f t="shared" si="85"/>
        <v>26961</v>
      </c>
    </row>
    <row r="387" spans="2:19" x14ac:dyDescent="0.2">
      <c r="B387" s="48">
        <f t="shared" si="82"/>
        <v>45</v>
      </c>
      <c r="C387" s="81"/>
      <c r="D387" s="81"/>
      <c r="E387" s="81"/>
      <c r="F387" s="82"/>
      <c r="G387" s="82"/>
      <c r="H387" s="13" t="s">
        <v>360</v>
      </c>
      <c r="I387" s="83"/>
      <c r="J387" s="175"/>
      <c r="K387" s="175"/>
      <c r="L387" s="83"/>
      <c r="M387" s="83">
        <f>40852+3500</f>
        <v>44352</v>
      </c>
      <c r="N387" s="83"/>
      <c r="O387" s="83">
        <f t="shared" si="75"/>
        <v>44352</v>
      </c>
      <c r="P387" s="84"/>
      <c r="Q387" s="85">
        <f t="shared" si="83"/>
        <v>44352</v>
      </c>
      <c r="R387" s="85">
        <f t="shared" si="84"/>
        <v>0</v>
      </c>
      <c r="S387" s="85">
        <f t="shared" si="85"/>
        <v>44352</v>
      </c>
    </row>
    <row r="388" spans="2:19" x14ac:dyDescent="0.2">
      <c r="B388" s="48">
        <f t="shared" si="82"/>
        <v>46</v>
      </c>
      <c r="C388" s="81"/>
      <c r="D388" s="81"/>
      <c r="E388" s="81"/>
      <c r="F388" s="82"/>
      <c r="G388" s="82"/>
      <c r="H388" s="13" t="s">
        <v>471</v>
      </c>
      <c r="I388" s="83"/>
      <c r="J388" s="175"/>
      <c r="K388" s="175"/>
      <c r="L388" s="83"/>
      <c r="M388" s="83">
        <v>15000</v>
      </c>
      <c r="N388" s="83"/>
      <c r="O388" s="83">
        <f t="shared" si="75"/>
        <v>15000</v>
      </c>
      <c r="P388" s="84"/>
      <c r="Q388" s="85">
        <f t="shared" si="83"/>
        <v>15000</v>
      </c>
      <c r="R388" s="85">
        <f t="shared" si="84"/>
        <v>0</v>
      </c>
      <c r="S388" s="85">
        <f t="shared" si="85"/>
        <v>15000</v>
      </c>
    </row>
    <row r="389" spans="2:19" x14ac:dyDescent="0.2">
      <c r="B389" s="48">
        <f t="shared" si="82"/>
        <v>47</v>
      </c>
      <c r="C389" s="81"/>
      <c r="D389" s="81"/>
      <c r="E389" s="81"/>
      <c r="F389" s="82"/>
      <c r="G389" s="82"/>
      <c r="H389" s="13" t="s">
        <v>433</v>
      </c>
      <c r="I389" s="83"/>
      <c r="J389" s="175"/>
      <c r="K389" s="175"/>
      <c r="L389" s="83"/>
      <c r="M389" s="83">
        <v>6000</v>
      </c>
      <c r="N389" s="83"/>
      <c r="O389" s="83">
        <f t="shared" si="75"/>
        <v>6000</v>
      </c>
      <c r="P389" s="84"/>
      <c r="Q389" s="85">
        <f t="shared" si="83"/>
        <v>6000</v>
      </c>
      <c r="R389" s="85">
        <f t="shared" si="84"/>
        <v>0</v>
      </c>
      <c r="S389" s="85">
        <f t="shared" si="85"/>
        <v>6000</v>
      </c>
    </row>
    <row r="390" spans="2:19" x14ac:dyDescent="0.2">
      <c r="B390" s="48">
        <f t="shared" si="82"/>
        <v>48</v>
      </c>
      <c r="C390" s="81"/>
      <c r="D390" s="81"/>
      <c r="E390" s="81"/>
      <c r="F390" s="82"/>
      <c r="G390" s="82"/>
      <c r="H390" s="13" t="s">
        <v>548</v>
      </c>
      <c r="I390" s="83"/>
      <c r="J390" s="175"/>
      <c r="K390" s="175"/>
      <c r="L390" s="83"/>
      <c r="M390" s="83">
        <v>3000</v>
      </c>
      <c r="N390" s="83"/>
      <c r="O390" s="83">
        <f t="shared" si="75"/>
        <v>3000</v>
      </c>
      <c r="P390" s="84"/>
      <c r="Q390" s="85">
        <f t="shared" si="83"/>
        <v>3000</v>
      </c>
      <c r="R390" s="85">
        <f t="shared" si="84"/>
        <v>0</v>
      </c>
      <c r="S390" s="85">
        <f t="shared" si="85"/>
        <v>3000</v>
      </c>
    </row>
    <row r="391" spans="2:19" x14ac:dyDescent="0.2">
      <c r="B391" s="48">
        <f>B390+1</f>
        <v>49</v>
      </c>
      <c r="C391" s="81"/>
      <c r="D391" s="81"/>
      <c r="E391" s="81"/>
      <c r="F391" s="82"/>
      <c r="G391" s="82"/>
      <c r="H391" s="13" t="s">
        <v>434</v>
      </c>
      <c r="I391" s="83"/>
      <c r="J391" s="175"/>
      <c r="K391" s="175"/>
      <c r="L391" s="83"/>
      <c r="M391" s="83">
        <v>100000</v>
      </c>
      <c r="N391" s="83"/>
      <c r="O391" s="83">
        <f t="shared" si="75"/>
        <v>100000</v>
      </c>
      <c r="P391" s="84"/>
      <c r="Q391" s="85">
        <f t="shared" si="83"/>
        <v>100000</v>
      </c>
      <c r="R391" s="85">
        <f t="shared" si="84"/>
        <v>0</v>
      </c>
      <c r="S391" s="85">
        <f t="shared" si="85"/>
        <v>100000</v>
      </c>
    </row>
    <row r="392" spans="2:19" x14ac:dyDescent="0.2">
      <c r="B392" s="48">
        <f t="shared" si="82"/>
        <v>50</v>
      </c>
      <c r="C392" s="81"/>
      <c r="D392" s="81"/>
      <c r="E392" s="81"/>
      <c r="F392" s="82"/>
      <c r="G392" s="82"/>
      <c r="H392" s="13" t="s">
        <v>298</v>
      </c>
      <c r="I392" s="83"/>
      <c r="J392" s="175"/>
      <c r="K392" s="175"/>
      <c r="L392" s="83"/>
      <c r="M392" s="83">
        <v>70000</v>
      </c>
      <c r="N392" s="83"/>
      <c r="O392" s="83">
        <f t="shared" si="75"/>
        <v>70000</v>
      </c>
      <c r="P392" s="84"/>
      <c r="Q392" s="85">
        <f t="shared" si="83"/>
        <v>70000</v>
      </c>
      <c r="R392" s="85">
        <f t="shared" si="84"/>
        <v>0</v>
      </c>
      <c r="S392" s="85">
        <f t="shared" si="85"/>
        <v>70000</v>
      </c>
    </row>
    <row r="393" spans="2:19" x14ac:dyDescent="0.2">
      <c r="B393" s="48">
        <f t="shared" si="82"/>
        <v>51</v>
      </c>
      <c r="C393" s="81"/>
      <c r="D393" s="81"/>
      <c r="E393" s="81"/>
      <c r="F393" s="82"/>
      <c r="G393" s="82"/>
      <c r="H393" s="13" t="s">
        <v>551</v>
      </c>
      <c r="I393" s="83"/>
      <c r="J393" s="175"/>
      <c r="K393" s="175"/>
      <c r="L393" s="83"/>
      <c r="M393" s="83">
        <v>32000</v>
      </c>
      <c r="N393" s="83"/>
      <c r="O393" s="83">
        <f t="shared" si="75"/>
        <v>32000</v>
      </c>
      <c r="P393" s="84"/>
      <c r="Q393" s="85">
        <f t="shared" si="83"/>
        <v>32000</v>
      </c>
      <c r="R393" s="85">
        <f t="shared" si="84"/>
        <v>0</v>
      </c>
      <c r="S393" s="85">
        <f t="shared" si="85"/>
        <v>32000</v>
      </c>
    </row>
    <row r="394" spans="2:19" x14ac:dyDescent="0.2">
      <c r="B394" s="48">
        <f t="shared" si="82"/>
        <v>52</v>
      </c>
      <c r="C394" s="81"/>
      <c r="D394" s="81"/>
      <c r="E394" s="81"/>
      <c r="F394" s="82"/>
      <c r="G394" s="82"/>
      <c r="H394" s="13" t="s">
        <v>524</v>
      </c>
      <c r="I394" s="83"/>
      <c r="J394" s="175"/>
      <c r="K394" s="175"/>
      <c r="L394" s="83"/>
      <c r="M394" s="83">
        <v>381000</v>
      </c>
      <c r="N394" s="83"/>
      <c r="O394" s="83">
        <f t="shared" si="75"/>
        <v>381000</v>
      </c>
      <c r="P394" s="84"/>
      <c r="Q394" s="85">
        <f t="shared" si="83"/>
        <v>381000</v>
      </c>
      <c r="R394" s="85">
        <f t="shared" si="84"/>
        <v>0</v>
      </c>
      <c r="S394" s="85">
        <f t="shared" si="85"/>
        <v>381000</v>
      </c>
    </row>
    <row r="395" spans="2:19" x14ac:dyDescent="0.2">
      <c r="B395" s="48">
        <f t="shared" si="82"/>
        <v>53</v>
      </c>
      <c r="C395" s="81"/>
      <c r="D395" s="81"/>
      <c r="E395" s="81"/>
      <c r="F395" s="82"/>
      <c r="G395" s="82"/>
      <c r="H395" s="13" t="s">
        <v>435</v>
      </c>
      <c r="I395" s="83"/>
      <c r="J395" s="175"/>
      <c r="K395" s="175"/>
      <c r="L395" s="83"/>
      <c r="M395" s="83">
        <v>19000</v>
      </c>
      <c r="N395" s="83"/>
      <c r="O395" s="83">
        <f t="shared" si="75"/>
        <v>19000</v>
      </c>
      <c r="P395" s="84"/>
      <c r="Q395" s="85">
        <f t="shared" si="83"/>
        <v>19000</v>
      </c>
      <c r="R395" s="85">
        <f t="shared" si="84"/>
        <v>0</v>
      </c>
      <c r="S395" s="85">
        <f t="shared" si="85"/>
        <v>19000</v>
      </c>
    </row>
    <row r="396" spans="2:19" x14ac:dyDescent="0.2">
      <c r="B396" s="48">
        <f t="shared" si="82"/>
        <v>54</v>
      </c>
      <c r="C396" s="81"/>
      <c r="D396" s="81"/>
      <c r="E396" s="81"/>
      <c r="F396" s="82"/>
      <c r="G396" s="82"/>
      <c r="H396" s="13" t="s">
        <v>399</v>
      </c>
      <c r="I396" s="83"/>
      <c r="J396" s="175"/>
      <c r="K396" s="175"/>
      <c r="L396" s="83"/>
      <c r="M396" s="83">
        <v>60200</v>
      </c>
      <c r="N396" s="83"/>
      <c r="O396" s="83">
        <f t="shared" si="75"/>
        <v>60200</v>
      </c>
      <c r="P396" s="84"/>
      <c r="Q396" s="85">
        <f t="shared" si="83"/>
        <v>60200</v>
      </c>
      <c r="R396" s="85">
        <f t="shared" si="84"/>
        <v>0</v>
      </c>
      <c r="S396" s="85">
        <f t="shared" si="85"/>
        <v>60200</v>
      </c>
    </row>
    <row r="397" spans="2:19" x14ac:dyDescent="0.2">
      <c r="B397" s="48">
        <f t="shared" si="82"/>
        <v>55</v>
      </c>
      <c r="C397" s="81"/>
      <c r="D397" s="81"/>
      <c r="E397" s="81"/>
      <c r="F397" s="82"/>
      <c r="G397" s="82"/>
      <c r="H397" s="13" t="s">
        <v>361</v>
      </c>
      <c r="I397" s="83"/>
      <c r="J397" s="175"/>
      <c r="K397" s="175"/>
      <c r="L397" s="83"/>
      <c r="M397" s="83">
        <f>25000+20180</f>
        <v>45180</v>
      </c>
      <c r="N397" s="83"/>
      <c r="O397" s="83">
        <f t="shared" si="75"/>
        <v>45180</v>
      </c>
      <c r="P397" s="84"/>
      <c r="Q397" s="85">
        <f t="shared" si="83"/>
        <v>45180</v>
      </c>
      <c r="R397" s="85">
        <f t="shared" si="84"/>
        <v>0</v>
      </c>
      <c r="S397" s="85">
        <f t="shared" si="85"/>
        <v>45180</v>
      </c>
    </row>
    <row r="398" spans="2:19" x14ac:dyDescent="0.2">
      <c r="B398" s="48">
        <f t="shared" si="82"/>
        <v>56</v>
      </c>
      <c r="C398" s="81"/>
      <c r="D398" s="81"/>
      <c r="E398" s="81"/>
      <c r="F398" s="82"/>
      <c r="G398" s="82"/>
      <c r="H398" s="13" t="s">
        <v>532</v>
      </c>
      <c r="I398" s="83"/>
      <c r="J398" s="175"/>
      <c r="K398" s="175"/>
      <c r="L398" s="83"/>
      <c r="M398" s="83">
        <v>15000</v>
      </c>
      <c r="N398" s="83"/>
      <c r="O398" s="83">
        <f t="shared" si="75"/>
        <v>15000</v>
      </c>
      <c r="P398" s="84"/>
      <c r="Q398" s="85">
        <f t="shared" si="83"/>
        <v>15000</v>
      </c>
      <c r="R398" s="85">
        <f t="shared" si="84"/>
        <v>0</v>
      </c>
      <c r="S398" s="85">
        <f t="shared" si="85"/>
        <v>15000</v>
      </c>
    </row>
    <row r="399" spans="2:19" x14ac:dyDescent="0.2">
      <c r="B399" s="48">
        <f t="shared" si="82"/>
        <v>57</v>
      </c>
      <c r="C399" s="81"/>
      <c r="D399" s="81"/>
      <c r="E399" s="81"/>
      <c r="F399" s="82"/>
      <c r="G399" s="82"/>
      <c r="H399" s="13" t="s">
        <v>527</v>
      </c>
      <c r="I399" s="83"/>
      <c r="J399" s="175"/>
      <c r="K399" s="175"/>
      <c r="L399" s="83"/>
      <c r="M399" s="83">
        <v>15000</v>
      </c>
      <c r="N399" s="83"/>
      <c r="O399" s="83">
        <f t="shared" si="75"/>
        <v>15000</v>
      </c>
      <c r="P399" s="84"/>
      <c r="Q399" s="85">
        <f t="shared" si="83"/>
        <v>15000</v>
      </c>
      <c r="R399" s="85">
        <f t="shared" si="84"/>
        <v>0</v>
      </c>
      <c r="S399" s="85">
        <f t="shared" si="85"/>
        <v>15000</v>
      </c>
    </row>
    <row r="400" spans="2:19" x14ac:dyDescent="0.2">
      <c r="B400" s="48">
        <f t="shared" si="82"/>
        <v>58</v>
      </c>
      <c r="C400" s="81"/>
      <c r="D400" s="81"/>
      <c r="E400" s="81"/>
      <c r="F400" s="82"/>
      <c r="G400" s="82"/>
      <c r="H400" s="13" t="s">
        <v>528</v>
      </c>
      <c r="I400" s="83"/>
      <c r="J400" s="175"/>
      <c r="K400" s="175"/>
      <c r="L400" s="83"/>
      <c r="M400" s="83">
        <v>8000</v>
      </c>
      <c r="N400" s="83"/>
      <c r="O400" s="83">
        <f t="shared" si="75"/>
        <v>8000</v>
      </c>
      <c r="P400" s="84"/>
      <c r="Q400" s="85">
        <f t="shared" si="83"/>
        <v>8000</v>
      </c>
      <c r="R400" s="85">
        <f t="shared" si="84"/>
        <v>0</v>
      </c>
      <c r="S400" s="85">
        <f t="shared" si="85"/>
        <v>8000</v>
      </c>
    </row>
    <row r="401" spans="2:19" x14ac:dyDescent="0.2">
      <c r="B401" s="48">
        <f t="shared" si="82"/>
        <v>59</v>
      </c>
      <c r="C401" s="81"/>
      <c r="D401" s="81"/>
      <c r="E401" s="81"/>
      <c r="F401" s="82"/>
      <c r="G401" s="82"/>
      <c r="H401" s="13" t="s">
        <v>529</v>
      </c>
      <c r="I401" s="83"/>
      <c r="J401" s="175"/>
      <c r="K401" s="175"/>
      <c r="L401" s="83"/>
      <c r="M401" s="83">
        <v>10000</v>
      </c>
      <c r="N401" s="83"/>
      <c r="O401" s="83">
        <f t="shared" si="75"/>
        <v>10000</v>
      </c>
      <c r="P401" s="84"/>
      <c r="Q401" s="85">
        <f t="shared" si="83"/>
        <v>10000</v>
      </c>
      <c r="R401" s="85">
        <f t="shared" si="84"/>
        <v>0</v>
      </c>
      <c r="S401" s="85">
        <f t="shared" si="85"/>
        <v>10000</v>
      </c>
    </row>
    <row r="402" spans="2:19" x14ac:dyDescent="0.2">
      <c r="B402" s="48">
        <f t="shared" si="82"/>
        <v>60</v>
      </c>
      <c r="C402" s="81"/>
      <c r="D402" s="81"/>
      <c r="E402" s="81"/>
      <c r="F402" s="82"/>
      <c r="G402" s="82"/>
      <c r="H402" s="13" t="s">
        <v>632</v>
      </c>
      <c r="I402" s="83"/>
      <c r="J402" s="175"/>
      <c r="K402" s="175"/>
      <c r="L402" s="83"/>
      <c r="M402" s="83"/>
      <c r="N402" s="83">
        <v>30000</v>
      </c>
      <c r="O402" s="83">
        <f t="shared" ref="O402" si="86">M402+N402</f>
        <v>30000</v>
      </c>
      <c r="P402" s="84"/>
      <c r="Q402" s="85">
        <f t="shared" si="83"/>
        <v>0</v>
      </c>
      <c r="R402" s="85">
        <f t="shared" si="84"/>
        <v>30000</v>
      </c>
      <c r="S402" s="85">
        <f t="shared" si="85"/>
        <v>30000</v>
      </c>
    </row>
    <row r="403" spans="2:19" x14ac:dyDescent="0.2">
      <c r="B403" s="48">
        <f t="shared" si="82"/>
        <v>61</v>
      </c>
      <c r="C403" s="81"/>
      <c r="D403" s="81"/>
      <c r="E403" s="81"/>
      <c r="F403" s="82"/>
      <c r="G403" s="82"/>
      <c r="H403" s="13" t="s">
        <v>547</v>
      </c>
      <c r="I403" s="83"/>
      <c r="J403" s="175"/>
      <c r="K403" s="175"/>
      <c r="L403" s="83"/>
      <c r="M403" s="83">
        <v>10000</v>
      </c>
      <c r="N403" s="83"/>
      <c r="O403" s="83">
        <f t="shared" si="75"/>
        <v>10000</v>
      </c>
      <c r="P403" s="84"/>
      <c r="Q403" s="85">
        <f t="shared" si="83"/>
        <v>10000</v>
      </c>
      <c r="R403" s="85">
        <f t="shared" si="84"/>
        <v>0</v>
      </c>
      <c r="S403" s="85">
        <f t="shared" si="85"/>
        <v>10000</v>
      </c>
    </row>
    <row r="404" spans="2:19" x14ac:dyDescent="0.2">
      <c r="B404" s="48">
        <f t="shared" si="82"/>
        <v>62</v>
      </c>
      <c r="C404" s="81"/>
      <c r="D404" s="81"/>
      <c r="E404" s="81"/>
      <c r="F404" s="82"/>
      <c r="G404" s="82"/>
      <c r="H404" s="13" t="s">
        <v>558</v>
      </c>
      <c r="I404" s="83"/>
      <c r="J404" s="175"/>
      <c r="K404" s="175"/>
      <c r="L404" s="83"/>
      <c r="M404" s="83">
        <v>500</v>
      </c>
      <c r="N404" s="83"/>
      <c r="O404" s="83">
        <f t="shared" si="75"/>
        <v>500</v>
      </c>
      <c r="P404" s="84"/>
      <c r="Q404" s="85">
        <f t="shared" si="83"/>
        <v>500</v>
      </c>
      <c r="R404" s="85">
        <f t="shared" si="84"/>
        <v>0</v>
      </c>
      <c r="S404" s="85">
        <f t="shared" si="85"/>
        <v>500</v>
      </c>
    </row>
    <row r="405" spans="2:19" x14ac:dyDescent="0.2">
      <c r="B405" s="48">
        <f t="shared" si="82"/>
        <v>63</v>
      </c>
      <c r="C405" s="81"/>
      <c r="D405" s="81"/>
      <c r="E405" s="81"/>
      <c r="F405" s="82"/>
      <c r="G405" s="82"/>
      <c r="H405" s="13" t="s">
        <v>436</v>
      </c>
      <c r="I405" s="83"/>
      <c r="J405" s="175"/>
      <c r="K405" s="175"/>
      <c r="L405" s="83"/>
      <c r="M405" s="83">
        <v>5000</v>
      </c>
      <c r="N405" s="83">
        <v>3000</v>
      </c>
      <c r="O405" s="83">
        <f t="shared" si="75"/>
        <v>8000</v>
      </c>
      <c r="P405" s="84"/>
      <c r="Q405" s="85">
        <f t="shared" si="83"/>
        <v>5000</v>
      </c>
      <c r="R405" s="85">
        <f t="shared" si="84"/>
        <v>3000</v>
      </c>
      <c r="S405" s="85">
        <f t="shared" si="85"/>
        <v>8000</v>
      </c>
    </row>
    <row r="406" spans="2:19" x14ac:dyDescent="0.2">
      <c r="B406" s="48">
        <f t="shared" si="82"/>
        <v>64</v>
      </c>
      <c r="C406" s="81"/>
      <c r="D406" s="81"/>
      <c r="E406" s="81"/>
      <c r="F406" s="82"/>
      <c r="G406" s="82"/>
      <c r="H406" s="13" t="s">
        <v>437</v>
      </c>
      <c r="I406" s="83"/>
      <c r="J406" s="175"/>
      <c r="K406" s="175"/>
      <c r="L406" s="83"/>
      <c r="M406" s="83">
        <v>5000</v>
      </c>
      <c r="N406" s="83"/>
      <c r="O406" s="83">
        <f t="shared" si="75"/>
        <v>5000</v>
      </c>
      <c r="P406" s="84"/>
      <c r="Q406" s="85">
        <f t="shared" si="83"/>
        <v>5000</v>
      </c>
      <c r="R406" s="85">
        <f t="shared" si="84"/>
        <v>0</v>
      </c>
      <c r="S406" s="85">
        <f t="shared" si="85"/>
        <v>5000</v>
      </c>
    </row>
    <row r="407" spans="2:19" x14ac:dyDescent="0.2">
      <c r="B407" s="48">
        <f t="shared" si="82"/>
        <v>65</v>
      </c>
      <c r="C407" s="81"/>
      <c r="D407" s="81"/>
      <c r="E407" s="81"/>
      <c r="F407" s="82"/>
      <c r="G407" s="82"/>
      <c r="H407" s="13" t="s">
        <v>438</v>
      </c>
      <c r="I407" s="83"/>
      <c r="J407" s="175"/>
      <c r="K407" s="175"/>
      <c r="L407" s="83"/>
      <c r="M407" s="83">
        <v>5000</v>
      </c>
      <c r="N407" s="83">
        <v>3000</v>
      </c>
      <c r="O407" s="83">
        <f t="shared" si="75"/>
        <v>8000</v>
      </c>
      <c r="P407" s="84"/>
      <c r="Q407" s="85">
        <f t="shared" si="83"/>
        <v>5000</v>
      </c>
      <c r="R407" s="85">
        <f t="shared" si="84"/>
        <v>3000</v>
      </c>
      <c r="S407" s="85">
        <f t="shared" si="85"/>
        <v>8000</v>
      </c>
    </row>
    <row r="408" spans="2:19" x14ac:dyDescent="0.2">
      <c r="B408" s="48">
        <f t="shared" ref="B408:B444" si="87">B407+1</f>
        <v>66</v>
      </c>
      <c r="C408" s="81"/>
      <c r="D408" s="81"/>
      <c r="E408" s="81"/>
      <c r="F408" s="82"/>
      <c r="G408" s="82"/>
      <c r="H408" s="13" t="s">
        <v>439</v>
      </c>
      <c r="I408" s="83"/>
      <c r="J408" s="175"/>
      <c r="K408" s="175"/>
      <c r="L408" s="83"/>
      <c r="M408" s="83">
        <v>5000</v>
      </c>
      <c r="N408" s="83">
        <v>3000</v>
      </c>
      <c r="O408" s="83">
        <f t="shared" si="75"/>
        <v>8000</v>
      </c>
      <c r="P408" s="84"/>
      <c r="Q408" s="85">
        <f t="shared" si="83"/>
        <v>5000</v>
      </c>
      <c r="R408" s="85">
        <f t="shared" si="84"/>
        <v>3000</v>
      </c>
      <c r="S408" s="85">
        <f t="shared" si="85"/>
        <v>8000</v>
      </c>
    </row>
    <row r="409" spans="2:19" x14ac:dyDescent="0.2">
      <c r="B409" s="48">
        <f t="shared" si="87"/>
        <v>67</v>
      </c>
      <c r="C409" s="81"/>
      <c r="D409" s="81"/>
      <c r="E409" s="81"/>
      <c r="F409" s="82"/>
      <c r="G409" s="82"/>
      <c r="H409" s="13" t="s">
        <v>396</v>
      </c>
      <c r="I409" s="83"/>
      <c r="J409" s="175"/>
      <c r="K409" s="175"/>
      <c r="L409" s="83"/>
      <c r="M409" s="83">
        <v>5000</v>
      </c>
      <c r="N409" s="83"/>
      <c r="O409" s="83">
        <f t="shared" ref="O409:O443" si="88">M409+N409</f>
        <v>5000</v>
      </c>
      <c r="P409" s="84"/>
      <c r="Q409" s="85">
        <f t="shared" si="83"/>
        <v>5000</v>
      </c>
      <c r="R409" s="85">
        <f t="shared" si="84"/>
        <v>0</v>
      </c>
      <c r="S409" s="85">
        <f t="shared" si="85"/>
        <v>5000</v>
      </c>
    </row>
    <row r="410" spans="2:19" x14ac:dyDescent="0.2">
      <c r="B410" s="48">
        <f t="shared" si="87"/>
        <v>68</v>
      </c>
      <c r="C410" s="81"/>
      <c r="D410" s="81"/>
      <c r="E410" s="81"/>
      <c r="F410" s="82"/>
      <c r="G410" s="82"/>
      <c r="H410" s="13" t="s">
        <v>469</v>
      </c>
      <c r="I410" s="83"/>
      <c r="J410" s="175"/>
      <c r="K410" s="175"/>
      <c r="L410" s="83"/>
      <c r="M410" s="83">
        <v>20000</v>
      </c>
      <c r="N410" s="83"/>
      <c r="O410" s="83">
        <f t="shared" si="88"/>
        <v>20000</v>
      </c>
      <c r="P410" s="84"/>
      <c r="Q410" s="85">
        <f t="shared" si="83"/>
        <v>20000</v>
      </c>
      <c r="R410" s="85">
        <f t="shared" si="84"/>
        <v>0</v>
      </c>
      <c r="S410" s="85">
        <f t="shared" si="85"/>
        <v>20000</v>
      </c>
    </row>
    <row r="411" spans="2:19" x14ac:dyDescent="0.2">
      <c r="B411" s="48">
        <f t="shared" si="87"/>
        <v>69</v>
      </c>
      <c r="C411" s="81"/>
      <c r="D411" s="81"/>
      <c r="E411" s="81"/>
      <c r="F411" s="82"/>
      <c r="G411" s="82"/>
      <c r="H411" s="13" t="s">
        <v>410</v>
      </c>
      <c r="I411" s="83"/>
      <c r="J411" s="175"/>
      <c r="K411" s="175"/>
      <c r="L411" s="83"/>
      <c r="M411" s="83">
        <v>5000</v>
      </c>
      <c r="N411" s="83"/>
      <c r="O411" s="83">
        <f t="shared" si="88"/>
        <v>5000</v>
      </c>
      <c r="P411" s="84"/>
      <c r="Q411" s="85">
        <f t="shared" si="83"/>
        <v>5000</v>
      </c>
      <c r="R411" s="85">
        <f t="shared" si="84"/>
        <v>0</v>
      </c>
      <c r="S411" s="85">
        <f t="shared" si="85"/>
        <v>5000</v>
      </c>
    </row>
    <row r="412" spans="2:19" x14ac:dyDescent="0.2">
      <c r="B412" s="48">
        <f t="shared" si="87"/>
        <v>70</v>
      </c>
      <c r="C412" s="81"/>
      <c r="D412" s="81"/>
      <c r="E412" s="81"/>
      <c r="F412" s="82"/>
      <c r="G412" s="82"/>
      <c r="H412" s="13" t="s">
        <v>440</v>
      </c>
      <c r="I412" s="83"/>
      <c r="J412" s="175"/>
      <c r="K412" s="175"/>
      <c r="L412" s="83"/>
      <c r="M412" s="83">
        <v>15000</v>
      </c>
      <c r="N412" s="83"/>
      <c r="O412" s="83">
        <f t="shared" si="88"/>
        <v>15000</v>
      </c>
      <c r="P412" s="84"/>
      <c r="Q412" s="85">
        <f t="shared" ref="Q412:Q426" si="89">I412+M412</f>
        <v>15000</v>
      </c>
      <c r="R412" s="85">
        <f t="shared" ref="R412:R443" si="90">J412+N412</f>
        <v>0</v>
      </c>
      <c r="S412" s="85">
        <f t="shared" ref="S412:S426" si="91">K412+O412</f>
        <v>15000</v>
      </c>
    </row>
    <row r="413" spans="2:19" x14ac:dyDescent="0.2">
      <c r="B413" s="48">
        <f t="shared" si="87"/>
        <v>71</v>
      </c>
      <c r="C413" s="81"/>
      <c r="D413" s="81"/>
      <c r="E413" s="81"/>
      <c r="F413" s="82"/>
      <c r="G413" s="82"/>
      <c r="H413" s="13" t="s">
        <v>279</v>
      </c>
      <c r="I413" s="83"/>
      <c r="J413" s="175"/>
      <c r="K413" s="175"/>
      <c r="L413" s="83"/>
      <c r="M413" s="83">
        <v>4600</v>
      </c>
      <c r="N413" s="83"/>
      <c r="O413" s="83">
        <f t="shared" si="88"/>
        <v>4600</v>
      </c>
      <c r="P413" s="84"/>
      <c r="Q413" s="85">
        <f t="shared" si="89"/>
        <v>4600</v>
      </c>
      <c r="R413" s="85">
        <f t="shared" si="90"/>
        <v>0</v>
      </c>
      <c r="S413" s="85">
        <f t="shared" si="91"/>
        <v>4600</v>
      </c>
    </row>
    <row r="414" spans="2:19" x14ac:dyDescent="0.2">
      <c r="B414" s="48">
        <f t="shared" si="87"/>
        <v>72</v>
      </c>
      <c r="C414" s="81"/>
      <c r="D414" s="81"/>
      <c r="E414" s="81"/>
      <c r="F414" s="82"/>
      <c r="G414" s="82"/>
      <c r="H414" s="13" t="s">
        <v>280</v>
      </c>
      <c r="I414" s="83"/>
      <c r="J414" s="175"/>
      <c r="K414" s="175"/>
      <c r="L414" s="83"/>
      <c r="M414" s="83">
        <v>12500</v>
      </c>
      <c r="N414" s="83"/>
      <c r="O414" s="83">
        <f t="shared" si="88"/>
        <v>12500</v>
      </c>
      <c r="P414" s="84"/>
      <c r="Q414" s="85">
        <f t="shared" si="89"/>
        <v>12500</v>
      </c>
      <c r="R414" s="85">
        <f t="shared" si="90"/>
        <v>0</v>
      </c>
      <c r="S414" s="85">
        <f t="shared" si="91"/>
        <v>12500</v>
      </c>
    </row>
    <row r="415" spans="2:19" x14ac:dyDescent="0.2">
      <c r="B415" s="48">
        <f t="shared" si="87"/>
        <v>73</v>
      </c>
      <c r="C415" s="81"/>
      <c r="D415" s="81"/>
      <c r="E415" s="81"/>
      <c r="F415" s="82"/>
      <c r="G415" s="82"/>
      <c r="H415" s="13" t="s">
        <v>441</v>
      </c>
      <c r="I415" s="83"/>
      <c r="J415" s="175"/>
      <c r="K415" s="175"/>
      <c r="L415" s="83"/>
      <c r="M415" s="83">
        <v>10900</v>
      </c>
      <c r="N415" s="83"/>
      <c r="O415" s="83">
        <f t="shared" si="88"/>
        <v>10900</v>
      </c>
      <c r="P415" s="84"/>
      <c r="Q415" s="85">
        <f t="shared" si="89"/>
        <v>10900</v>
      </c>
      <c r="R415" s="85">
        <f t="shared" si="90"/>
        <v>0</v>
      </c>
      <c r="S415" s="85">
        <f t="shared" si="91"/>
        <v>10900</v>
      </c>
    </row>
    <row r="416" spans="2:19" x14ac:dyDescent="0.2">
      <c r="B416" s="48">
        <f t="shared" si="87"/>
        <v>74</v>
      </c>
      <c r="C416" s="81"/>
      <c r="D416" s="81"/>
      <c r="E416" s="81"/>
      <c r="F416" s="82"/>
      <c r="G416" s="82"/>
      <c r="H416" s="13" t="s">
        <v>297</v>
      </c>
      <c r="I416" s="83"/>
      <c r="J416" s="175"/>
      <c r="K416" s="175"/>
      <c r="L416" s="83"/>
      <c r="M416" s="83">
        <v>8000</v>
      </c>
      <c r="N416" s="83"/>
      <c r="O416" s="83">
        <f t="shared" si="88"/>
        <v>8000</v>
      </c>
      <c r="P416" s="84"/>
      <c r="Q416" s="85">
        <f t="shared" si="89"/>
        <v>8000</v>
      </c>
      <c r="R416" s="85">
        <f t="shared" si="90"/>
        <v>0</v>
      </c>
      <c r="S416" s="85">
        <f t="shared" si="91"/>
        <v>8000</v>
      </c>
    </row>
    <row r="417" spans="2:19" x14ac:dyDescent="0.2">
      <c r="B417" s="48">
        <f t="shared" si="87"/>
        <v>75</v>
      </c>
      <c r="C417" s="81"/>
      <c r="D417" s="81"/>
      <c r="E417" s="81"/>
      <c r="F417" s="82"/>
      <c r="G417" s="82"/>
      <c r="H417" s="13" t="s">
        <v>510</v>
      </c>
      <c r="I417" s="83"/>
      <c r="J417" s="175"/>
      <c r="K417" s="175"/>
      <c r="L417" s="83"/>
      <c r="M417" s="83">
        <v>3000</v>
      </c>
      <c r="N417" s="83"/>
      <c r="O417" s="83">
        <f t="shared" si="88"/>
        <v>3000</v>
      </c>
      <c r="P417" s="84"/>
      <c r="Q417" s="85">
        <f t="shared" si="89"/>
        <v>3000</v>
      </c>
      <c r="R417" s="85">
        <f t="shared" si="90"/>
        <v>0</v>
      </c>
      <c r="S417" s="85">
        <f t="shared" si="91"/>
        <v>3000</v>
      </c>
    </row>
    <row r="418" spans="2:19" x14ac:dyDescent="0.2">
      <c r="B418" s="48">
        <f t="shared" si="87"/>
        <v>76</v>
      </c>
      <c r="C418" s="81"/>
      <c r="D418" s="81"/>
      <c r="E418" s="81"/>
      <c r="F418" s="82"/>
      <c r="G418" s="82"/>
      <c r="H418" s="13" t="s">
        <v>295</v>
      </c>
      <c r="I418" s="83"/>
      <c r="J418" s="175"/>
      <c r="K418" s="175"/>
      <c r="L418" s="83"/>
      <c r="M418" s="83">
        <v>30000</v>
      </c>
      <c r="N418" s="83"/>
      <c r="O418" s="83">
        <f t="shared" si="88"/>
        <v>30000</v>
      </c>
      <c r="P418" s="84"/>
      <c r="Q418" s="85">
        <f t="shared" si="89"/>
        <v>30000</v>
      </c>
      <c r="R418" s="85">
        <f t="shared" si="90"/>
        <v>0</v>
      </c>
      <c r="S418" s="85">
        <f t="shared" si="91"/>
        <v>30000</v>
      </c>
    </row>
    <row r="419" spans="2:19" x14ac:dyDescent="0.2">
      <c r="B419" s="48">
        <f t="shared" si="87"/>
        <v>77</v>
      </c>
      <c r="C419" s="81"/>
      <c r="D419" s="81"/>
      <c r="E419" s="81"/>
      <c r="F419" s="82"/>
      <c r="G419" s="82"/>
      <c r="H419" s="13" t="s">
        <v>296</v>
      </c>
      <c r="I419" s="83"/>
      <c r="J419" s="175"/>
      <c r="K419" s="175"/>
      <c r="L419" s="83"/>
      <c r="M419" s="83">
        <v>35964</v>
      </c>
      <c r="N419" s="83"/>
      <c r="O419" s="83">
        <f t="shared" si="88"/>
        <v>35964</v>
      </c>
      <c r="P419" s="84"/>
      <c r="Q419" s="85">
        <f t="shared" si="89"/>
        <v>35964</v>
      </c>
      <c r="R419" s="85">
        <f t="shared" si="90"/>
        <v>0</v>
      </c>
      <c r="S419" s="85">
        <f t="shared" si="91"/>
        <v>35964</v>
      </c>
    </row>
    <row r="420" spans="2:19" x14ac:dyDescent="0.2">
      <c r="B420" s="48">
        <f t="shared" si="87"/>
        <v>78</v>
      </c>
      <c r="C420" s="170"/>
      <c r="D420" s="170"/>
      <c r="E420" s="170"/>
      <c r="F420" s="171"/>
      <c r="G420" s="172">
        <v>717</v>
      </c>
      <c r="H420" s="170" t="s">
        <v>183</v>
      </c>
      <c r="I420" s="173"/>
      <c r="J420" s="176"/>
      <c r="K420" s="176"/>
      <c r="L420" s="66"/>
      <c r="M420" s="173">
        <f>SUM(M421:M443)</f>
        <v>1311772</v>
      </c>
      <c r="N420" s="173">
        <f>SUM(N421:N442)</f>
        <v>1193000</v>
      </c>
      <c r="O420" s="173">
        <f t="shared" si="88"/>
        <v>2504772</v>
      </c>
      <c r="P420" s="67"/>
      <c r="Q420" s="174">
        <f t="shared" si="89"/>
        <v>1311772</v>
      </c>
      <c r="R420" s="174">
        <f t="shared" si="90"/>
        <v>1193000</v>
      </c>
      <c r="S420" s="174">
        <f t="shared" si="91"/>
        <v>2504772</v>
      </c>
    </row>
    <row r="421" spans="2:19" x14ac:dyDescent="0.2">
      <c r="B421" s="48">
        <f t="shared" si="87"/>
        <v>79</v>
      </c>
      <c r="C421" s="81"/>
      <c r="D421" s="81"/>
      <c r="E421" s="81"/>
      <c r="F421" s="82"/>
      <c r="G421" s="82"/>
      <c r="H421" s="13" t="s">
        <v>635</v>
      </c>
      <c r="I421" s="83"/>
      <c r="J421" s="175"/>
      <c r="K421" s="175"/>
      <c r="L421" s="83"/>
      <c r="M421" s="83">
        <v>0</v>
      </c>
      <c r="N421" s="83">
        <v>60000</v>
      </c>
      <c r="O421" s="83">
        <f>M421+N421</f>
        <v>60000</v>
      </c>
      <c r="P421" s="84"/>
      <c r="Q421" s="85">
        <f t="shared" si="89"/>
        <v>0</v>
      </c>
      <c r="R421" s="85">
        <f t="shared" si="90"/>
        <v>60000</v>
      </c>
      <c r="S421" s="85">
        <f t="shared" si="91"/>
        <v>60000</v>
      </c>
    </row>
    <row r="422" spans="2:19" x14ac:dyDescent="0.2">
      <c r="B422" s="48">
        <f t="shared" si="87"/>
        <v>80</v>
      </c>
      <c r="C422" s="81"/>
      <c r="D422" s="81"/>
      <c r="E422" s="81"/>
      <c r="F422" s="82"/>
      <c r="G422" s="82"/>
      <c r="H422" s="13" t="s">
        <v>530</v>
      </c>
      <c r="I422" s="83"/>
      <c r="J422" s="175"/>
      <c r="K422" s="175"/>
      <c r="L422" s="83"/>
      <c r="M422" s="83">
        <v>8000</v>
      </c>
      <c r="N422" s="83"/>
      <c r="O422" s="83">
        <f t="shared" si="88"/>
        <v>8000</v>
      </c>
      <c r="P422" s="84"/>
      <c r="Q422" s="85">
        <f t="shared" si="89"/>
        <v>8000</v>
      </c>
      <c r="R422" s="85">
        <f t="shared" si="90"/>
        <v>0</v>
      </c>
      <c r="S422" s="85">
        <f t="shared" si="91"/>
        <v>8000</v>
      </c>
    </row>
    <row r="423" spans="2:19" x14ac:dyDescent="0.2">
      <c r="B423" s="48">
        <f t="shared" si="87"/>
        <v>81</v>
      </c>
      <c r="C423" s="81"/>
      <c r="D423" s="81"/>
      <c r="E423" s="81"/>
      <c r="F423" s="82"/>
      <c r="G423" s="82"/>
      <c r="H423" s="13" t="s">
        <v>531</v>
      </c>
      <c r="I423" s="83"/>
      <c r="J423" s="175"/>
      <c r="K423" s="175"/>
      <c r="L423" s="83"/>
      <c r="M423" s="83">
        <v>25000</v>
      </c>
      <c r="N423" s="83"/>
      <c r="O423" s="83">
        <f t="shared" si="88"/>
        <v>25000</v>
      </c>
      <c r="P423" s="84"/>
      <c r="Q423" s="85">
        <f t="shared" si="89"/>
        <v>25000</v>
      </c>
      <c r="R423" s="85">
        <f t="shared" si="90"/>
        <v>0</v>
      </c>
      <c r="S423" s="85">
        <f t="shared" si="91"/>
        <v>25000</v>
      </c>
    </row>
    <row r="424" spans="2:19" x14ac:dyDescent="0.2">
      <c r="B424" s="48">
        <f t="shared" si="87"/>
        <v>82</v>
      </c>
      <c r="C424" s="81"/>
      <c r="D424" s="81"/>
      <c r="E424" s="81"/>
      <c r="F424" s="82"/>
      <c r="G424" s="82"/>
      <c r="H424" s="13" t="s">
        <v>542</v>
      </c>
      <c r="I424" s="83"/>
      <c r="J424" s="175"/>
      <c r="K424" s="175"/>
      <c r="L424" s="83"/>
      <c r="M424" s="83">
        <v>190000</v>
      </c>
      <c r="N424" s="83">
        <v>136000</v>
      </c>
      <c r="O424" s="83">
        <f t="shared" si="88"/>
        <v>326000</v>
      </c>
      <c r="P424" s="84"/>
      <c r="Q424" s="85">
        <f t="shared" si="89"/>
        <v>190000</v>
      </c>
      <c r="R424" s="85">
        <f t="shared" si="90"/>
        <v>136000</v>
      </c>
      <c r="S424" s="85">
        <f t="shared" si="91"/>
        <v>326000</v>
      </c>
    </row>
    <row r="425" spans="2:19" x14ac:dyDescent="0.2">
      <c r="B425" s="48">
        <f t="shared" si="87"/>
        <v>83</v>
      </c>
      <c r="C425" s="81"/>
      <c r="D425" s="81"/>
      <c r="E425" s="81"/>
      <c r="F425" s="82"/>
      <c r="G425" s="82"/>
      <c r="H425" s="13" t="s">
        <v>559</v>
      </c>
      <c r="I425" s="83"/>
      <c r="J425" s="175"/>
      <c r="K425" s="175"/>
      <c r="L425" s="83"/>
      <c r="M425" s="83">
        <v>101000</v>
      </c>
      <c r="N425" s="83"/>
      <c r="O425" s="83">
        <f t="shared" si="88"/>
        <v>101000</v>
      </c>
      <c r="P425" s="84"/>
      <c r="Q425" s="85">
        <f t="shared" si="89"/>
        <v>101000</v>
      </c>
      <c r="R425" s="85">
        <f t="shared" si="90"/>
        <v>0</v>
      </c>
      <c r="S425" s="85">
        <f t="shared" si="91"/>
        <v>101000</v>
      </c>
    </row>
    <row r="426" spans="2:19" x14ac:dyDescent="0.2">
      <c r="B426" s="48">
        <f t="shared" si="87"/>
        <v>84</v>
      </c>
      <c r="C426" s="81"/>
      <c r="D426" s="81"/>
      <c r="E426" s="81"/>
      <c r="F426" s="82"/>
      <c r="G426" s="82"/>
      <c r="H426" s="13" t="s">
        <v>571</v>
      </c>
      <c r="I426" s="83"/>
      <c r="J426" s="175"/>
      <c r="K426" s="175"/>
      <c r="L426" s="83"/>
      <c r="M426" s="83">
        <v>49500</v>
      </c>
      <c r="N426" s="83"/>
      <c r="O426" s="83">
        <f t="shared" si="88"/>
        <v>49500</v>
      </c>
      <c r="P426" s="84"/>
      <c r="Q426" s="85">
        <f t="shared" si="89"/>
        <v>49500</v>
      </c>
      <c r="R426" s="85">
        <f t="shared" si="90"/>
        <v>0</v>
      </c>
      <c r="S426" s="85">
        <f t="shared" si="91"/>
        <v>49500</v>
      </c>
    </row>
    <row r="427" spans="2:19" x14ac:dyDescent="0.2">
      <c r="B427" s="48">
        <f t="shared" si="87"/>
        <v>85</v>
      </c>
      <c r="C427" s="81"/>
      <c r="D427" s="81"/>
      <c r="E427" s="81"/>
      <c r="F427" s="82"/>
      <c r="G427" s="82"/>
      <c r="H427" s="13" t="s">
        <v>640</v>
      </c>
      <c r="I427" s="83"/>
      <c r="J427" s="175"/>
      <c r="K427" s="175"/>
      <c r="L427" s="83"/>
      <c r="M427" s="83">
        <v>0</v>
      </c>
      <c r="N427" s="83">
        <v>260000</v>
      </c>
      <c r="O427" s="83">
        <f t="shared" si="88"/>
        <v>260000</v>
      </c>
      <c r="P427" s="84"/>
      <c r="Q427" s="85">
        <f t="shared" ref="Q427:Q444" si="92">I427+M427</f>
        <v>0</v>
      </c>
      <c r="R427" s="85">
        <f t="shared" si="90"/>
        <v>260000</v>
      </c>
      <c r="S427" s="85">
        <f t="shared" ref="S427:S444" si="93">K427+O427</f>
        <v>260000</v>
      </c>
    </row>
    <row r="428" spans="2:19" x14ac:dyDescent="0.2">
      <c r="B428" s="48">
        <f t="shared" si="87"/>
        <v>86</v>
      </c>
      <c r="C428" s="81"/>
      <c r="D428" s="81"/>
      <c r="E428" s="81"/>
      <c r="F428" s="82"/>
      <c r="G428" s="82"/>
      <c r="H428" s="13" t="s">
        <v>459</v>
      </c>
      <c r="I428" s="83"/>
      <c r="J428" s="175"/>
      <c r="K428" s="175"/>
      <c r="L428" s="83"/>
      <c r="M428" s="83">
        <f>82000-3110</f>
        <v>78890</v>
      </c>
      <c r="N428" s="83"/>
      <c r="O428" s="83">
        <f t="shared" si="88"/>
        <v>78890</v>
      </c>
      <c r="P428" s="84"/>
      <c r="Q428" s="85">
        <f t="shared" si="92"/>
        <v>78890</v>
      </c>
      <c r="R428" s="85">
        <f t="shared" si="90"/>
        <v>0</v>
      </c>
      <c r="S428" s="85">
        <f t="shared" si="93"/>
        <v>78890</v>
      </c>
    </row>
    <row r="429" spans="2:19" x14ac:dyDescent="0.2">
      <c r="B429" s="48">
        <f t="shared" si="87"/>
        <v>87</v>
      </c>
      <c r="C429" s="81"/>
      <c r="D429" s="81"/>
      <c r="E429" s="81"/>
      <c r="F429" s="82"/>
      <c r="G429" s="82"/>
      <c r="H429" s="13" t="s">
        <v>541</v>
      </c>
      <c r="I429" s="83"/>
      <c r="J429" s="175"/>
      <c r="K429" s="175"/>
      <c r="L429" s="83"/>
      <c r="M429" s="83">
        <v>14000</v>
      </c>
      <c r="N429" s="83"/>
      <c r="O429" s="83">
        <f t="shared" si="88"/>
        <v>14000</v>
      </c>
      <c r="P429" s="84"/>
      <c r="Q429" s="85">
        <f t="shared" si="92"/>
        <v>14000</v>
      </c>
      <c r="R429" s="85">
        <f t="shared" si="90"/>
        <v>0</v>
      </c>
      <c r="S429" s="85">
        <f t="shared" si="93"/>
        <v>14000</v>
      </c>
    </row>
    <row r="430" spans="2:19" x14ac:dyDescent="0.2">
      <c r="B430" s="48">
        <f t="shared" si="87"/>
        <v>88</v>
      </c>
      <c r="C430" s="81"/>
      <c r="D430" s="81"/>
      <c r="E430" s="81"/>
      <c r="F430" s="82"/>
      <c r="G430" s="82"/>
      <c r="H430" s="13" t="s">
        <v>641</v>
      </c>
      <c r="I430" s="83"/>
      <c r="J430" s="175"/>
      <c r="K430" s="175"/>
      <c r="L430" s="83"/>
      <c r="M430" s="83">
        <v>0</v>
      </c>
      <c r="N430" s="83">
        <v>230000</v>
      </c>
      <c r="O430" s="83">
        <f t="shared" si="88"/>
        <v>230000</v>
      </c>
      <c r="P430" s="84"/>
      <c r="Q430" s="85">
        <f t="shared" si="92"/>
        <v>0</v>
      </c>
      <c r="R430" s="85">
        <f t="shared" si="90"/>
        <v>230000</v>
      </c>
      <c r="S430" s="85">
        <f t="shared" si="93"/>
        <v>230000</v>
      </c>
    </row>
    <row r="431" spans="2:19" x14ac:dyDescent="0.2">
      <c r="B431" s="48">
        <f t="shared" si="87"/>
        <v>89</v>
      </c>
      <c r="C431" s="81"/>
      <c r="D431" s="81"/>
      <c r="E431" s="81"/>
      <c r="F431" s="82"/>
      <c r="G431" s="82"/>
      <c r="H431" s="13" t="s">
        <v>300</v>
      </c>
      <c r="I431" s="83"/>
      <c r="J431" s="175"/>
      <c r="K431" s="175"/>
      <c r="L431" s="83"/>
      <c r="M431" s="83">
        <f>12500+1500</f>
        <v>14000</v>
      </c>
      <c r="N431" s="83"/>
      <c r="O431" s="83">
        <f t="shared" si="88"/>
        <v>14000</v>
      </c>
      <c r="P431" s="84"/>
      <c r="Q431" s="85">
        <f t="shared" si="92"/>
        <v>14000</v>
      </c>
      <c r="R431" s="85">
        <f t="shared" si="90"/>
        <v>0</v>
      </c>
      <c r="S431" s="85">
        <f t="shared" si="93"/>
        <v>14000</v>
      </c>
    </row>
    <row r="432" spans="2:19" x14ac:dyDescent="0.2">
      <c r="B432" s="48">
        <f t="shared" si="87"/>
        <v>90</v>
      </c>
      <c r="C432" s="81"/>
      <c r="D432" s="81"/>
      <c r="E432" s="81"/>
      <c r="F432" s="82"/>
      <c r="G432" s="82"/>
      <c r="H432" s="13" t="s">
        <v>400</v>
      </c>
      <c r="I432" s="83"/>
      <c r="J432" s="175"/>
      <c r="K432" s="175"/>
      <c r="L432" s="83"/>
      <c r="M432" s="83">
        <v>25000</v>
      </c>
      <c r="N432" s="83"/>
      <c r="O432" s="83">
        <f t="shared" si="88"/>
        <v>25000</v>
      </c>
      <c r="P432" s="84"/>
      <c r="Q432" s="85">
        <f t="shared" si="92"/>
        <v>25000</v>
      </c>
      <c r="R432" s="85">
        <f t="shared" si="90"/>
        <v>0</v>
      </c>
      <c r="S432" s="85">
        <f t="shared" si="93"/>
        <v>25000</v>
      </c>
    </row>
    <row r="433" spans="2:19" x14ac:dyDescent="0.2">
      <c r="B433" s="48">
        <f t="shared" si="87"/>
        <v>91</v>
      </c>
      <c r="C433" s="81"/>
      <c r="D433" s="81"/>
      <c r="E433" s="81"/>
      <c r="F433" s="82"/>
      <c r="G433" s="82"/>
      <c r="H433" s="13" t="s">
        <v>460</v>
      </c>
      <c r="I433" s="83"/>
      <c r="J433" s="175"/>
      <c r="K433" s="175"/>
      <c r="L433" s="83"/>
      <c r="M433" s="83">
        <f>20000+4000</f>
        <v>24000</v>
      </c>
      <c r="N433" s="83"/>
      <c r="O433" s="83">
        <f t="shared" si="88"/>
        <v>24000</v>
      </c>
      <c r="P433" s="84"/>
      <c r="Q433" s="85">
        <f t="shared" si="92"/>
        <v>24000</v>
      </c>
      <c r="R433" s="85">
        <f t="shared" si="90"/>
        <v>0</v>
      </c>
      <c r="S433" s="85">
        <f t="shared" si="93"/>
        <v>24000</v>
      </c>
    </row>
    <row r="434" spans="2:19" x14ac:dyDescent="0.2">
      <c r="B434" s="48">
        <f t="shared" si="87"/>
        <v>92</v>
      </c>
      <c r="C434" s="81"/>
      <c r="D434" s="81"/>
      <c r="E434" s="81"/>
      <c r="F434" s="82"/>
      <c r="G434" s="82"/>
      <c r="H434" s="13" t="s">
        <v>299</v>
      </c>
      <c r="I434" s="83"/>
      <c r="J434" s="175"/>
      <c r="K434" s="175"/>
      <c r="L434" s="83"/>
      <c r="M434" s="83">
        <v>5000</v>
      </c>
      <c r="N434" s="83"/>
      <c r="O434" s="83">
        <f t="shared" si="88"/>
        <v>5000</v>
      </c>
      <c r="P434" s="84"/>
      <c r="Q434" s="85">
        <f t="shared" si="92"/>
        <v>5000</v>
      </c>
      <c r="R434" s="85">
        <f t="shared" si="90"/>
        <v>0</v>
      </c>
      <c r="S434" s="85">
        <f t="shared" si="93"/>
        <v>5000</v>
      </c>
    </row>
    <row r="435" spans="2:19" x14ac:dyDescent="0.2">
      <c r="B435" s="48">
        <f t="shared" si="87"/>
        <v>93</v>
      </c>
      <c r="C435" s="81"/>
      <c r="D435" s="81"/>
      <c r="E435" s="81"/>
      <c r="F435" s="82"/>
      <c r="G435" s="82"/>
      <c r="H435" s="13" t="s">
        <v>570</v>
      </c>
      <c r="I435" s="83"/>
      <c r="J435" s="175"/>
      <c r="K435" s="175"/>
      <c r="L435" s="83"/>
      <c r="M435" s="83">
        <v>6882</v>
      </c>
      <c r="N435" s="83"/>
      <c r="O435" s="83">
        <f t="shared" si="88"/>
        <v>6882</v>
      </c>
      <c r="P435" s="84"/>
      <c r="Q435" s="85">
        <f t="shared" si="92"/>
        <v>6882</v>
      </c>
      <c r="R435" s="85">
        <f t="shared" si="90"/>
        <v>0</v>
      </c>
      <c r="S435" s="85">
        <f t="shared" si="93"/>
        <v>6882</v>
      </c>
    </row>
    <row r="436" spans="2:19" x14ac:dyDescent="0.2">
      <c r="B436" s="48">
        <f t="shared" si="87"/>
        <v>94</v>
      </c>
      <c r="C436" s="81"/>
      <c r="D436" s="81"/>
      <c r="E436" s="81"/>
      <c r="F436" s="82"/>
      <c r="G436" s="82"/>
      <c r="H436" s="13" t="s">
        <v>519</v>
      </c>
      <c r="I436" s="83"/>
      <c r="J436" s="175"/>
      <c r="K436" s="175"/>
      <c r="L436" s="83"/>
      <c r="M436" s="83">
        <f>46500-3000</f>
        <v>43500</v>
      </c>
      <c r="N436" s="83"/>
      <c r="O436" s="83">
        <f t="shared" si="88"/>
        <v>43500</v>
      </c>
      <c r="P436" s="84"/>
      <c r="Q436" s="85">
        <f t="shared" si="92"/>
        <v>43500</v>
      </c>
      <c r="R436" s="85">
        <f t="shared" si="90"/>
        <v>0</v>
      </c>
      <c r="S436" s="85">
        <f t="shared" si="93"/>
        <v>43500</v>
      </c>
    </row>
    <row r="437" spans="2:19" x14ac:dyDescent="0.2">
      <c r="B437" s="48">
        <f t="shared" si="87"/>
        <v>95</v>
      </c>
      <c r="C437" s="81"/>
      <c r="D437" s="81"/>
      <c r="E437" s="81"/>
      <c r="F437" s="82"/>
      <c r="G437" s="82"/>
      <c r="H437" s="13" t="s">
        <v>549</v>
      </c>
      <c r="I437" s="83"/>
      <c r="J437" s="175"/>
      <c r="K437" s="175"/>
      <c r="L437" s="83"/>
      <c r="M437" s="83">
        <v>15000</v>
      </c>
      <c r="N437" s="83"/>
      <c r="O437" s="83">
        <f t="shared" si="88"/>
        <v>15000</v>
      </c>
      <c r="P437" s="84"/>
      <c r="Q437" s="85">
        <f t="shared" si="92"/>
        <v>15000</v>
      </c>
      <c r="R437" s="85">
        <f t="shared" si="90"/>
        <v>0</v>
      </c>
      <c r="S437" s="85">
        <f t="shared" si="93"/>
        <v>15000</v>
      </c>
    </row>
    <row r="438" spans="2:19" x14ac:dyDescent="0.2">
      <c r="B438" s="48">
        <f t="shared" si="87"/>
        <v>96</v>
      </c>
      <c r="C438" s="81"/>
      <c r="D438" s="81"/>
      <c r="E438" s="81"/>
      <c r="F438" s="82"/>
      <c r="G438" s="82"/>
      <c r="H438" s="13" t="s">
        <v>550</v>
      </c>
      <c r="I438" s="83"/>
      <c r="J438" s="175"/>
      <c r="K438" s="175"/>
      <c r="L438" s="83"/>
      <c r="M438" s="83">
        <v>550000</v>
      </c>
      <c r="N438" s="83"/>
      <c r="O438" s="83">
        <f t="shared" si="88"/>
        <v>550000</v>
      </c>
      <c r="P438" s="84"/>
      <c r="Q438" s="85">
        <f t="shared" si="92"/>
        <v>550000</v>
      </c>
      <c r="R438" s="85">
        <f t="shared" si="90"/>
        <v>0</v>
      </c>
      <c r="S438" s="85">
        <f t="shared" si="93"/>
        <v>550000</v>
      </c>
    </row>
    <row r="439" spans="2:19" x14ac:dyDescent="0.2">
      <c r="B439" s="48">
        <f t="shared" si="87"/>
        <v>97</v>
      </c>
      <c r="C439" s="81"/>
      <c r="D439" s="81"/>
      <c r="E439" s="81"/>
      <c r="F439" s="82"/>
      <c r="G439" s="82"/>
      <c r="H439" s="13" t="s">
        <v>636</v>
      </c>
      <c r="I439" s="83"/>
      <c r="J439" s="175"/>
      <c r="K439" s="175"/>
      <c r="L439" s="83"/>
      <c r="M439" s="83">
        <v>0</v>
      </c>
      <c r="N439" s="83">
        <v>370000</v>
      </c>
      <c r="O439" s="83">
        <f t="shared" si="88"/>
        <v>370000</v>
      </c>
      <c r="P439" s="84"/>
      <c r="Q439" s="85">
        <f t="shared" si="92"/>
        <v>0</v>
      </c>
      <c r="R439" s="85">
        <f t="shared" si="90"/>
        <v>370000</v>
      </c>
      <c r="S439" s="85">
        <f t="shared" si="93"/>
        <v>370000</v>
      </c>
    </row>
    <row r="440" spans="2:19" x14ac:dyDescent="0.2">
      <c r="B440" s="48">
        <f t="shared" si="87"/>
        <v>98</v>
      </c>
      <c r="C440" s="81"/>
      <c r="D440" s="81"/>
      <c r="E440" s="81"/>
      <c r="F440" s="82"/>
      <c r="G440" s="82"/>
      <c r="H440" s="13" t="s">
        <v>637</v>
      </c>
      <c r="I440" s="83"/>
      <c r="J440" s="175"/>
      <c r="K440" s="175"/>
      <c r="L440" s="83"/>
      <c r="M440" s="83">
        <v>0</v>
      </c>
      <c r="N440" s="83">
        <v>137000</v>
      </c>
      <c r="O440" s="83">
        <f t="shared" ref="O440" si="94">M440+N440</f>
        <v>137000</v>
      </c>
      <c r="P440" s="84"/>
      <c r="Q440" s="85">
        <f t="shared" si="92"/>
        <v>0</v>
      </c>
      <c r="R440" s="85">
        <f t="shared" si="90"/>
        <v>137000</v>
      </c>
      <c r="S440" s="85">
        <f t="shared" si="93"/>
        <v>137000</v>
      </c>
    </row>
    <row r="441" spans="2:19" x14ac:dyDescent="0.2">
      <c r="B441" s="48">
        <f t="shared" si="87"/>
        <v>99</v>
      </c>
      <c r="C441" s="81"/>
      <c r="D441" s="81"/>
      <c r="E441" s="81"/>
      <c r="F441" s="82"/>
      <c r="G441" s="82"/>
      <c r="H441" s="13" t="s">
        <v>543</v>
      </c>
      <c r="I441" s="83"/>
      <c r="J441" s="175"/>
      <c r="K441" s="175"/>
      <c r="L441" s="83"/>
      <c r="M441" s="83">
        <v>27000</v>
      </c>
      <c r="N441" s="83"/>
      <c r="O441" s="83">
        <f t="shared" si="88"/>
        <v>27000</v>
      </c>
      <c r="P441" s="84"/>
      <c r="Q441" s="85">
        <f t="shared" si="92"/>
        <v>27000</v>
      </c>
      <c r="R441" s="85">
        <f t="shared" si="90"/>
        <v>0</v>
      </c>
      <c r="S441" s="85">
        <f t="shared" si="93"/>
        <v>27000</v>
      </c>
    </row>
    <row r="442" spans="2:19" ht="24" x14ac:dyDescent="0.2">
      <c r="B442" s="48">
        <f t="shared" si="87"/>
        <v>100</v>
      </c>
      <c r="C442" s="73"/>
      <c r="D442" s="73"/>
      <c r="E442" s="73"/>
      <c r="F442" s="74"/>
      <c r="G442" s="177"/>
      <c r="H442" s="178" t="s">
        <v>480</v>
      </c>
      <c r="I442" s="179"/>
      <c r="J442" s="180"/>
      <c r="K442" s="180"/>
      <c r="L442" s="76"/>
      <c r="M442" s="76">
        <v>132000</v>
      </c>
      <c r="N442" s="76"/>
      <c r="O442" s="76">
        <f t="shared" si="88"/>
        <v>132000</v>
      </c>
      <c r="P442" s="77"/>
      <c r="Q442" s="78">
        <f t="shared" si="92"/>
        <v>132000</v>
      </c>
      <c r="R442" s="85">
        <f t="shared" si="90"/>
        <v>0</v>
      </c>
      <c r="S442" s="78">
        <f t="shared" si="93"/>
        <v>132000</v>
      </c>
    </row>
    <row r="443" spans="2:19" ht="21" customHeight="1" x14ac:dyDescent="0.2">
      <c r="B443" s="48">
        <f t="shared" si="87"/>
        <v>101</v>
      </c>
      <c r="C443" s="73"/>
      <c r="D443" s="73"/>
      <c r="E443" s="73"/>
      <c r="F443" s="74"/>
      <c r="G443" s="181"/>
      <c r="H443" s="182" t="s">
        <v>649</v>
      </c>
      <c r="I443" s="183"/>
      <c r="J443" s="180"/>
      <c r="K443" s="180"/>
      <c r="L443" s="76"/>
      <c r="M443" s="76">
        <v>3000</v>
      </c>
      <c r="N443" s="76"/>
      <c r="O443" s="76">
        <f t="shared" si="88"/>
        <v>3000</v>
      </c>
      <c r="P443" s="77"/>
      <c r="Q443" s="78">
        <f t="shared" si="92"/>
        <v>3000</v>
      </c>
      <c r="R443" s="85">
        <f t="shared" si="90"/>
        <v>0</v>
      </c>
      <c r="S443" s="78">
        <f t="shared" si="93"/>
        <v>3000</v>
      </c>
    </row>
    <row r="444" spans="2:19" x14ac:dyDescent="0.2">
      <c r="B444" s="48">
        <f t="shared" si="87"/>
        <v>102</v>
      </c>
      <c r="C444" s="170"/>
      <c r="D444" s="170"/>
      <c r="E444" s="170"/>
      <c r="F444" s="171"/>
      <c r="G444" s="172">
        <v>719</v>
      </c>
      <c r="H444" s="170" t="s">
        <v>644</v>
      </c>
      <c r="I444" s="173"/>
      <c r="J444" s="176"/>
      <c r="K444" s="176"/>
      <c r="L444" s="66"/>
      <c r="M444" s="173">
        <v>3504</v>
      </c>
      <c r="N444" s="173"/>
      <c r="O444" s="173">
        <f t="shared" ref="O444" si="95">M444+N444</f>
        <v>3504</v>
      </c>
      <c r="P444" s="67"/>
      <c r="Q444" s="174">
        <f t="shared" si="92"/>
        <v>3504</v>
      </c>
      <c r="R444" s="174">
        <f t="shared" ref="R444" si="96">J444+N444</f>
        <v>0</v>
      </c>
      <c r="S444" s="174">
        <f t="shared" si="93"/>
        <v>3504</v>
      </c>
    </row>
    <row r="445" spans="2:19" x14ac:dyDescent="0.2">
      <c r="B445" s="1"/>
      <c r="F445" s="1"/>
      <c r="G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2:19" ht="36" customHeight="1" x14ac:dyDescent="0.4">
      <c r="B446" s="429" t="s">
        <v>20</v>
      </c>
      <c r="C446" s="430"/>
      <c r="D446" s="430"/>
      <c r="E446" s="430"/>
      <c r="F446" s="430"/>
      <c r="G446" s="430"/>
      <c r="H446" s="430"/>
      <c r="I446" s="430"/>
      <c r="J446" s="430"/>
      <c r="K446" s="430"/>
      <c r="L446" s="430"/>
      <c r="M446" s="430"/>
      <c r="N446" s="430"/>
      <c r="O446" s="430"/>
      <c r="P446" s="430"/>
      <c r="Q446" s="430"/>
    </row>
    <row r="447" spans="2:19" ht="12.75" customHeight="1" x14ac:dyDescent="0.2">
      <c r="B447" s="459" t="s">
        <v>422</v>
      </c>
      <c r="C447" s="459"/>
      <c r="D447" s="459"/>
      <c r="E447" s="459"/>
      <c r="F447" s="459"/>
      <c r="G447" s="459"/>
      <c r="H447" s="459"/>
      <c r="I447" s="459"/>
      <c r="J447" s="459"/>
      <c r="K447" s="459"/>
      <c r="L447" s="459"/>
      <c r="M447" s="459"/>
      <c r="N447" s="459"/>
      <c r="O447" s="459"/>
      <c r="P447" s="390"/>
      <c r="Q447" s="408" t="s">
        <v>595</v>
      </c>
      <c r="R447" s="408" t="s">
        <v>591</v>
      </c>
      <c r="S447" s="408" t="s">
        <v>566</v>
      </c>
    </row>
    <row r="448" spans="2:19" ht="12.75" customHeight="1" x14ac:dyDescent="0.2">
      <c r="B448" s="458"/>
      <c r="C448" s="437" t="s">
        <v>115</v>
      </c>
      <c r="D448" s="437" t="s">
        <v>116</v>
      </c>
      <c r="E448" s="452"/>
      <c r="F448" s="437" t="s">
        <v>117</v>
      </c>
      <c r="G448" s="443" t="s">
        <v>118</v>
      </c>
      <c r="H448" s="449" t="s">
        <v>119</v>
      </c>
      <c r="I448" s="408" t="s">
        <v>593</v>
      </c>
      <c r="J448" s="408" t="s">
        <v>591</v>
      </c>
      <c r="K448" s="408" t="s">
        <v>566</v>
      </c>
      <c r="L448" s="391"/>
      <c r="M448" s="408" t="s">
        <v>594</v>
      </c>
      <c r="N448" s="408" t="s">
        <v>591</v>
      </c>
      <c r="O448" s="408" t="s">
        <v>566</v>
      </c>
      <c r="P448" s="391"/>
      <c r="Q448" s="408"/>
      <c r="R448" s="408"/>
      <c r="S448" s="408"/>
    </row>
    <row r="449" spans="2:19" x14ac:dyDescent="0.2">
      <c r="B449" s="458"/>
      <c r="C449" s="437"/>
      <c r="D449" s="437"/>
      <c r="E449" s="452"/>
      <c r="F449" s="437"/>
      <c r="G449" s="443"/>
      <c r="H449" s="449"/>
      <c r="I449" s="408"/>
      <c r="J449" s="408"/>
      <c r="K449" s="408"/>
      <c r="L449" s="391"/>
      <c r="M449" s="408"/>
      <c r="N449" s="408"/>
      <c r="O449" s="408"/>
      <c r="P449" s="391"/>
      <c r="Q449" s="408"/>
      <c r="R449" s="408"/>
      <c r="S449" s="408"/>
    </row>
    <row r="450" spans="2:19" x14ac:dyDescent="0.2">
      <c r="B450" s="458"/>
      <c r="C450" s="437"/>
      <c r="D450" s="437"/>
      <c r="E450" s="452"/>
      <c r="F450" s="437"/>
      <c r="G450" s="443"/>
      <c r="H450" s="449"/>
      <c r="I450" s="408"/>
      <c r="J450" s="408"/>
      <c r="K450" s="408"/>
      <c r="L450" s="391"/>
      <c r="M450" s="408"/>
      <c r="N450" s="408"/>
      <c r="O450" s="408"/>
      <c r="P450" s="391"/>
      <c r="Q450" s="408"/>
      <c r="R450" s="408"/>
      <c r="S450" s="408"/>
    </row>
    <row r="451" spans="2:19" x14ac:dyDescent="0.2">
      <c r="B451" s="458"/>
      <c r="C451" s="437"/>
      <c r="D451" s="437"/>
      <c r="E451" s="452"/>
      <c r="F451" s="437"/>
      <c r="G451" s="443"/>
      <c r="H451" s="449"/>
      <c r="I451" s="408"/>
      <c r="J451" s="408"/>
      <c r="K451" s="408"/>
      <c r="L451" s="391"/>
      <c r="M451" s="408"/>
      <c r="N451" s="408"/>
      <c r="O451" s="408"/>
      <c r="P451" s="391"/>
      <c r="Q451" s="408"/>
      <c r="R451" s="408"/>
      <c r="S451" s="408"/>
    </row>
    <row r="452" spans="2:19" ht="15.75" x14ac:dyDescent="0.2">
      <c r="B452" s="48">
        <v>1</v>
      </c>
      <c r="C452" s="453" t="s">
        <v>20</v>
      </c>
      <c r="D452" s="454"/>
      <c r="E452" s="454"/>
      <c r="F452" s="454"/>
      <c r="G452" s="454"/>
      <c r="H452" s="454"/>
      <c r="I452" s="49">
        <f>I453+I643+I857+I963+I1227</f>
        <v>34680464</v>
      </c>
      <c r="J452" s="49">
        <f>J453+J643+J857+J963+J1227</f>
        <v>337539</v>
      </c>
      <c r="K452" s="49">
        <f>I452+J452</f>
        <v>35018003</v>
      </c>
      <c r="L452" s="394"/>
      <c r="M452" s="49">
        <f>M1227+M963+M857+M643+M453</f>
        <v>2142810</v>
      </c>
      <c r="N452" s="49">
        <f>N1227+N963+N857+N643+N453</f>
        <v>384335</v>
      </c>
      <c r="O452" s="49">
        <f>M452+N452</f>
        <v>2527145</v>
      </c>
      <c r="P452" s="392"/>
      <c r="Q452" s="50">
        <f t="shared" ref="Q452:Q516" si="97">I452+M452</f>
        <v>36823274</v>
      </c>
      <c r="R452" s="50">
        <f t="shared" ref="R452:R516" si="98">J452+N452</f>
        <v>721874</v>
      </c>
      <c r="S452" s="50">
        <f t="shared" ref="S452:S516" si="99">K452+O452</f>
        <v>37545148</v>
      </c>
    </row>
    <row r="453" spans="2:19" ht="15" x14ac:dyDescent="0.2">
      <c r="B453" s="48">
        <f t="shared" ref="B453:B522" si="100">B452+1</f>
        <v>2</v>
      </c>
      <c r="C453" s="51">
        <v>1</v>
      </c>
      <c r="D453" s="435" t="s">
        <v>189</v>
      </c>
      <c r="E453" s="436"/>
      <c r="F453" s="436"/>
      <c r="G453" s="436"/>
      <c r="H453" s="436"/>
      <c r="I453" s="52">
        <f>I454+I465+I476</f>
        <v>7739764</v>
      </c>
      <c r="J453" s="52">
        <f>J454+J465+J476</f>
        <v>22711</v>
      </c>
      <c r="K453" s="52">
        <f t="shared" ref="K453:K522" si="101">I453+J453</f>
        <v>7762475</v>
      </c>
      <c r="L453" s="53"/>
      <c r="M453" s="52">
        <f>M465+M476</f>
        <v>198000</v>
      </c>
      <c r="N453" s="52">
        <f>N465+N476</f>
        <v>56500</v>
      </c>
      <c r="O453" s="52">
        <f t="shared" ref="O453:O522" si="102">M453+N453</f>
        <v>254500</v>
      </c>
      <c r="P453" s="54"/>
      <c r="Q453" s="72">
        <f t="shared" si="97"/>
        <v>7937764</v>
      </c>
      <c r="R453" s="72">
        <f t="shared" si="98"/>
        <v>79211</v>
      </c>
      <c r="S453" s="72">
        <f t="shared" si="99"/>
        <v>8016975</v>
      </c>
    </row>
    <row r="454" spans="2:19" x14ac:dyDescent="0.2">
      <c r="B454" s="48">
        <f t="shared" si="100"/>
        <v>3</v>
      </c>
      <c r="C454" s="9"/>
      <c r="D454" s="9"/>
      <c r="E454" s="9"/>
      <c r="F454" s="61" t="s">
        <v>188</v>
      </c>
      <c r="G454" s="8">
        <v>640</v>
      </c>
      <c r="H454" s="9" t="s">
        <v>130</v>
      </c>
      <c r="I454" s="62">
        <f>I455</f>
        <v>1048977</v>
      </c>
      <c r="J454" s="62">
        <f>J455</f>
        <v>0</v>
      </c>
      <c r="K454" s="62">
        <f t="shared" si="101"/>
        <v>1048977</v>
      </c>
      <c r="L454" s="62"/>
      <c r="M454" s="62"/>
      <c r="N454" s="62"/>
      <c r="O454" s="62">
        <f t="shared" si="102"/>
        <v>0</v>
      </c>
      <c r="P454" s="63"/>
      <c r="Q454" s="64">
        <f t="shared" si="97"/>
        <v>1048977</v>
      </c>
      <c r="R454" s="64">
        <f t="shared" si="98"/>
        <v>0</v>
      </c>
      <c r="S454" s="64">
        <f t="shared" si="99"/>
        <v>1048977</v>
      </c>
    </row>
    <row r="455" spans="2:19" x14ac:dyDescent="0.2">
      <c r="B455" s="48">
        <f t="shared" si="100"/>
        <v>4</v>
      </c>
      <c r="C455" s="11"/>
      <c r="D455" s="11"/>
      <c r="E455" s="11"/>
      <c r="F455" s="65"/>
      <c r="G455" s="10">
        <v>642</v>
      </c>
      <c r="H455" s="11" t="s">
        <v>131</v>
      </c>
      <c r="I455" s="66">
        <f>SUM(I456:I464)</f>
        <v>1048977</v>
      </c>
      <c r="J455" s="66">
        <f>SUM(J456:J464)</f>
        <v>0</v>
      </c>
      <c r="K455" s="66">
        <f t="shared" si="101"/>
        <v>1048977</v>
      </c>
      <c r="L455" s="66"/>
      <c r="M455" s="66"/>
      <c r="N455" s="66"/>
      <c r="O455" s="66">
        <f t="shared" si="102"/>
        <v>0</v>
      </c>
      <c r="P455" s="67"/>
      <c r="Q455" s="68">
        <f t="shared" si="97"/>
        <v>1048977</v>
      </c>
      <c r="R455" s="68">
        <f t="shared" si="98"/>
        <v>0</v>
      </c>
      <c r="S455" s="68">
        <f t="shared" si="99"/>
        <v>1048977</v>
      </c>
    </row>
    <row r="456" spans="2:19" x14ac:dyDescent="0.2">
      <c r="B456" s="48">
        <f t="shared" si="100"/>
        <v>5</v>
      </c>
      <c r="C456" s="81"/>
      <c r="D456" s="81"/>
      <c r="E456" s="13"/>
      <c r="F456" s="82"/>
      <c r="G456" s="82"/>
      <c r="H456" s="13" t="s">
        <v>382</v>
      </c>
      <c r="I456" s="83">
        <f>208467-5540</f>
        <v>202927</v>
      </c>
      <c r="J456" s="83"/>
      <c r="K456" s="83">
        <f t="shared" si="101"/>
        <v>202927</v>
      </c>
      <c r="L456" s="83"/>
      <c r="M456" s="83"/>
      <c r="N456" s="83"/>
      <c r="O456" s="83">
        <f t="shared" si="102"/>
        <v>0</v>
      </c>
      <c r="P456" s="84"/>
      <c r="Q456" s="85">
        <f t="shared" si="97"/>
        <v>202927</v>
      </c>
      <c r="R456" s="85">
        <f t="shared" si="98"/>
        <v>0</v>
      </c>
      <c r="S456" s="85">
        <f t="shared" si="99"/>
        <v>202927</v>
      </c>
    </row>
    <row r="457" spans="2:19" x14ac:dyDescent="0.2">
      <c r="B457" s="48">
        <f t="shared" si="100"/>
        <v>6</v>
      </c>
      <c r="C457" s="81"/>
      <c r="D457" s="81"/>
      <c r="E457" s="13"/>
      <c r="F457" s="82"/>
      <c r="G457" s="82"/>
      <c r="H457" s="13" t="s">
        <v>478</v>
      </c>
      <c r="I457" s="83">
        <f>84711-2249</f>
        <v>82462</v>
      </c>
      <c r="J457" s="83"/>
      <c r="K457" s="83">
        <f t="shared" si="101"/>
        <v>82462</v>
      </c>
      <c r="L457" s="83"/>
      <c r="M457" s="83"/>
      <c r="N457" s="83"/>
      <c r="O457" s="83">
        <f t="shared" si="102"/>
        <v>0</v>
      </c>
      <c r="P457" s="84"/>
      <c r="Q457" s="85">
        <f t="shared" si="97"/>
        <v>82462</v>
      </c>
      <c r="R457" s="85">
        <f t="shared" si="98"/>
        <v>0</v>
      </c>
      <c r="S457" s="85">
        <f t="shared" si="99"/>
        <v>82462</v>
      </c>
    </row>
    <row r="458" spans="2:19" x14ac:dyDescent="0.2">
      <c r="B458" s="48">
        <f t="shared" si="100"/>
        <v>7</v>
      </c>
      <c r="C458" s="81"/>
      <c r="D458" s="81"/>
      <c r="E458" s="13"/>
      <c r="F458" s="82"/>
      <c r="G458" s="82"/>
      <c r="H458" s="13" t="s">
        <v>383</v>
      </c>
      <c r="I458" s="83">
        <f>69278-1839</f>
        <v>67439</v>
      </c>
      <c r="J458" s="83"/>
      <c r="K458" s="83">
        <f t="shared" si="101"/>
        <v>67439</v>
      </c>
      <c r="L458" s="83"/>
      <c r="M458" s="83"/>
      <c r="N458" s="83"/>
      <c r="O458" s="83">
        <f t="shared" si="102"/>
        <v>0</v>
      </c>
      <c r="P458" s="84"/>
      <c r="Q458" s="85">
        <f t="shared" si="97"/>
        <v>67439</v>
      </c>
      <c r="R458" s="85">
        <f t="shared" si="98"/>
        <v>0</v>
      </c>
      <c r="S458" s="85">
        <f t="shared" si="99"/>
        <v>67439</v>
      </c>
    </row>
    <row r="459" spans="2:19" x14ac:dyDescent="0.2">
      <c r="B459" s="48">
        <f t="shared" si="100"/>
        <v>8</v>
      </c>
      <c r="C459" s="81"/>
      <c r="D459" s="81"/>
      <c r="E459" s="13"/>
      <c r="F459" s="82"/>
      <c r="G459" s="82"/>
      <c r="H459" s="13" t="s">
        <v>384</v>
      </c>
      <c r="I459" s="83">
        <f>72281-1919</f>
        <v>70362</v>
      </c>
      <c r="J459" s="83"/>
      <c r="K459" s="83">
        <f t="shared" si="101"/>
        <v>70362</v>
      </c>
      <c r="L459" s="83"/>
      <c r="M459" s="83"/>
      <c r="N459" s="83"/>
      <c r="O459" s="83">
        <f t="shared" si="102"/>
        <v>0</v>
      </c>
      <c r="P459" s="84"/>
      <c r="Q459" s="85">
        <f t="shared" si="97"/>
        <v>70362</v>
      </c>
      <c r="R459" s="85">
        <f t="shared" si="98"/>
        <v>0</v>
      </c>
      <c r="S459" s="85">
        <f t="shared" si="99"/>
        <v>70362</v>
      </c>
    </row>
    <row r="460" spans="2:19" x14ac:dyDescent="0.2">
      <c r="B460" s="48">
        <f t="shared" si="100"/>
        <v>9</v>
      </c>
      <c r="C460" s="81"/>
      <c r="D460" s="81"/>
      <c r="E460" s="13"/>
      <c r="F460" s="82"/>
      <c r="G460" s="82"/>
      <c r="H460" s="13" t="s">
        <v>385</v>
      </c>
      <c r="I460" s="83">
        <f>186186-4942</f>
        <v>181244</v>
      </c>
      <c r="J460" s="83"/>
      <c r="K460" s="83">
        <f t="shared" si="101"/>
        <v>181244</v>
      </c>
      <c r="L460" s="83"/>
      <c r="M460" s="83"/>
      <c r="N460" s="83"/>
      <c r="O460" s="83">
        <f t="shared" si="102"/>
        <v>0</v>
      </c>
      <c r="P460" s="84"/>
      <c r="Q460" s="85">
        <f t="shared" si="97"/>
        <v>181244</v>
      </c>
      <c r="R460" s="85">
        <f t="shared" si="98"/>
        <v>0</v>
      </c>
      <c r="S460" s="85">
        <f t="shared" si="99"/>
        <v>181244</v>
      </c>
    </row>
    <row r="461" spans="2:19" x14ac:dyDescent="0.2">
      <c r="B461" s="48">
        <f t="shared" si="100"/>
        <v>10</v>
      </c>
      <c r="C461" s="81"/>
      <c r="D461" s="81"/>
      <c r="E461" s="13"/>
      <c r="F461" s="82"/>
      <c r="G461" s="82"/>
      <c r="H461" s="13" t="s">
        <v>386</v>
      </c>
      <c r="I461" s="83">
        <f>135135-3587</f>
        <v>131548</v>
      </c>
      <c r="J461" s="83"/>
      <c r="K461" s="83">
        <f t="shared" si="101"/>
        <v>131548</v>
      </c>
      <c r="L461" s="83"/>
      <c r="M461" s="83"/>
      <c r="N461" s="83"/>
      <c r="O461" s="83">
        <f t="shared" si="102"/>
        <v>0</v>
      </c>
      <c r="P461" s="84"/>
      <c r="Q461" s="85">
        <f t="shared" si="97"/>
        <v>131548</v>
      </c>
      <c r="R461" s="85">
        <f t="shared" si="98"/>
        <v>0</v>
      </c>
      <c r="S461" s="85">
        <f t="shared" si="99"/>
        <v>131548</v>
      </c>
    </row>
    <row r="462" spans="2:19" x14ac:dyDescent="0.2">
      <c r="B462" s="48">
        <f t="shared" si="100"/>
        <v>11</v>
      </c>
      <c r="C462" s="81"/>
      <c r="D462" s="81"/>
      <c r="E462" s="13"/>
      <c r="F462" s="82"/>
      <c r="G462" s="82"/>
      <c r="H462" s="13" t="s">
        <v>387</v>
      </c>
      <c r="I462" s="83">
        <f>189398-5028</f>
        <v>184370</v>
      </c>
      <c r="J462" s="83"/>
      <c r="K462" s="83">
        <f t="shared" si="101"/>
        <v>184370</v>
      </c>
      <c r="L462" s="83"/>
      <c r="M462" s="83"/>
      <c r="N462" s="83"/>
      <c r="O462" s="83">
        <f t="shared" si="102"/>
        <v>0</v>
      </c>
      <c r="P462" s="84"/>
      <c r="Q462" s="85">
        <f t="shared" si="97"/>
        <v>184370</v>
      </c>
      <c r="R462" s="85">
        <f t="shared" si="98"/>
        <v>0</v>
      </c>
      <c r="S462" s="85">
        <f t="shared" si="99"/>
        <v>184370</v>
      </c>
    </row>
    <row r="463" spans="2:19" x14ac:dyDescent="0.2">
      <c r="B463" s="48">
        <f t="shared" si="100"/>
        <v>12</v>
      </c>
      <c r="C463" s="81"/>
      <c r="D463" s="81"/>
      <c r="E463" s="13"/>
      <c r="F463" s="82"/>
      <c r="G463" s="82"/>
      <c r="H463" s="13" t="s">
        <v>481</v>
      </c>
      <c r="I463" s="83">
        <f>63063-1833</f>
        <v>61230</v>
      </c>
      <c r="J463" s="83">
        <v>159</v>
      </c>
      <c r="K463" s="83">
        <f t="shared" si="101"/>
        <v>61389</v>
      </c>
      <c r="L463" s="83"/>
      <c r="M463" s="83"/>
      <c r="N463" s="83"/>
      <c r="O463" s="83">
        <f t="shared" si="102"/>
        <v>0</v>
      </c>
      <c r="P463" s="84"/>
      <c r="Q463" s="85">
        <f t="shared" si="97"/>
        <v>61230</v>
      </c>
      <c r="R463" s="85">
        <f t="shared" si="98"/>
        <v>159</v>
      </c>
      <c r="S463" s="85">
        <f t="shared" si="99"/>
        <v>61389</v>
      </c>
    </row>
    <row r="464" spans="2:19" x14ac:dyDescent="0.2">
      <c r="B464" s="48">
        <f t="shared" si="100"/>
        <v>13</v>
      </c>
      <c r="C464" s="81"/>
      <c r="D464" s="81"/>
      <c r="E464" s="13"/>
      <c r="F464" s="82"/>
      <c r="G464" s="82"/>
      <c r="H464" s="13" t="s">
        <v>388</v>
      </c>
      <c r="I464" s="83">
        <f>69069-1674</f>
        <v>67395</v>
      </c>
      <c r="J464" s="83">
        <v>-159</v>
      </c>
      <c r="K464" s="83">
        <f t="shared" si="101"/>
        <v>67236</v>
      </c>
      <c r="L464" s="83"/>
      <c r="M464" s="83"/>
      <c r="N464" s="83"/>
      <c r="O464" s="83">
        <f t="shared" si="102"/>
        <v>0</v>
      </c>
      <c r="P464" s="84"/>
      <c r="Q464" s="85">
        <f t="shared" si="97"/>
        <v>67395</v>
      </c>
      <c r="R464" s="85">
        <f t="shared" si="98"/>
        <v>-159</v>
      </c>
      <c r="S464" s="85">
        <f t="shared" si="99"/>
        <v>67236</v>
      </c>
    </row>
    <row r="465" spans="2:19" ht="15" x14ac:dyDescent="0.25">
      <c r="B465" s="48">
        <f t="shared" si="100"/>
        <v>14</v>
      </c>
      <c r="C465" s="166"/>
      <c r="D465" s="166"/>
      <c r="E465" s="166">
        <v>3</v>
      </c>
      <c r="F465" s="167"/>
      <c r="G465" s="167"/>
      <c r="H465" s="166" t="s">
        <v>8</v>
      </c>
      <c r="I465" s="168">
        <f>I466+I467+I468+I474</f>
        <v>816118</v>
      </c>
      <c r="J465" s="168">
        <f>J466+J467+J468+J474+J475</f>
        <v>-487</v>
      </c>
      <c r="K465" s="168">
        <f t="shared" si="101"/>
        <v>815631</v>
      </c>
      <c r="L465" s="58"/>
      <c r="M465" s="168"/>
      <c r="N465" s="168"/>
      <c r="O465" s="168">
        <f t="shared" si="102"/>
        <v>0</v>
      </c>
      <c r="P465" s="59"/>
      <c r="Q465" s="169">
        <f t="shared" si="97"/>
        <v>816118</v>
      </c>
      <c r="R465" s="169">
        <f t="shared" si="98"/>
        <v>-487</v>
      </c>
      <c r="S465" s="169">
        <f t="shared" si="99"/>
        <v>815631</v>
      </c>
    </row>
    <row r="466" spans="2:19" x14ac:dyDescent="0.2">
      <c r="B466" s="48">
        <f t="shared" si="100"/>
        <v>15</v>
      </c>
      <c r="C466" s="9"/>
      <c r="D466" s="9"/>
      <c r="E466" s="9"/>
      <c r="F466" s="61" t="s">
        <v>188</v>
      </c>
      <c r="G466" s="8">
        <v>610</v>
      </c>
      <c r="H466" s="9" t="s">
        <v>132</v>
      </c>
      <c r="I466" s="62">
        <v>459773</v>
      </c>
      <c r="J466" s="62">
        <v>-194</v>
      </c>
      <c r="K466" s="62">
        <f t="shared" si="101"/>
        <v>459579</v>
      </c>
      <c r="L466" s="62"/>
      <c r="M466" s="62"/>
      <c r="N466" s="62"/>
      <c r="O466" s="62">
        <f t="shared" si="102"/>
        <v>0</v>
      </c>
      <c r="P466" s="63"/>
      <c r="Q466" s="64">
        <f t="shared" si="97"/>
        <v>459773</v>
      </c>
      <c r="R466" s="64">
        <f t="shared" si="98"/>
        <v>-194</v>
      </c>
      <c r="S466" s="64">
        <f t="shared" si="99"/>
        <v>459579</v>
      </c>
    </row>
    <row r="467" spans="2:19" x14ac:dyDescent="0.2">
      <c r="B467" s="48">
        <f t="shared" si="100"/>
        <v>16</v>
      </c>
      <c r="C467" s="9"/>
      <c r="D467" s="9"/>
      <c r="E467" s="9"/>
      <c r="F467" s="61" t="s">
        <v>188</v>
      </c>
      <c r="G467" s="8">
        <v>620</v>
      </c>
      <c r="H467" s="9" t="s">
        <v>125</v>
      </c>
      <c r="I467" s="62">
        <v>169971</v>
      </c>
      <c r="J467" s="62">
        <v>7</v>
      </c>
      <c r="K467" s="62">
        <f t="shared" si="101"/>
        <v>169978</v>
      </c>
      <c r="L467" s="62"/>
      <c r="M467" s="62"/>
      <c r="N467" s="62"/>
      <c r="O467" s="62">
        <f t="shared" si="102"/>
        <v>0</v>
      </c>
      <c r="P467" s="63"/>
      <c r="Q467" s="64">
        <f t="shared" si="97"/>
        <v>169971</v>
      </c>
      <c r="R467" s="64">
        <f t="shared" si="98"/>
        <v>7</v>
      </c>
      <c r="S467" s="64">
        <f t="shared" si="99"/>
        <v>169978</v>
      </c>
    </row>
    <row r="468" spans="2:19" x14ac:dyDescent="0.2">
      <c r="B468" s="48">
        <f t="shared" si="100"/>
        <v>17</v>
      </c>
      <c r="C468" s="9"/>
      <c r="D468" s="9"/>
      <c r="E468" s="9"/>
      <c r="F468" s="61" t="s">
        <v>188</v>
      </c>
      <c r="G468" s="8">
        <v>630</v>
      </c>
      <c r="H468" s="9" t="s">
        <v>122</v>
      </c>
      <c r="I468" s="62">
        <f>SUM(I469:I473)</f>
        <v>185924</v>
      </c>
      <c r="J468" s="62">
        <f>SUM(J469:J473)</f>
        <v>-1581</v>
      </c>
      <c r="K468" s="62">
        <f t="shared" si="101"/>
        <v>184343</v>
      </c>
      <c r="L468" s="62"/>
      <c r="M468" s="62"/>
      <c r="N468" s="62"/>
      <c r="O468" s="62">
        <f t="shared" si="102"/>
        <v>0</v>
      </c>
      <c r="P468" s="63"/>
      <c r="Q468" s="64">
        <f t="shared" si="97"/>
        <v>185924</v>
      </c>
      <c r="R468" s="64">
        <f t="shared" si="98"/>
        <v>-1581</v>
      </c>
      <c r="S468" s="64">
        <f t="shared" si="99"/>
        <v>184343</v>
      </c>
    </row>
    <row r="469" spans="2:19" x14ac:dyDescent="0.2">
      <c r="B469" s="48">
        <f t="shared" si="100"/>
        <v>18</v>
      </c>
      <c r="C469" s="11"/>
      <c r="D469" s="11"/>
      <c r="E469" s="11"/>
      <c r="F469" s="65"/>
      <c r="G469" s="10">
        <v>632</v>
      </c>
      <c r="H469" s="11" t="s">
        <v>135</v>
      </c>
      <c r="I469" s="66">
        <v>84930</v>
      </c>
      <c r="J469" s="66"/>
      <c r="K469" s="66">
        <f t="shared" si="101"/>
        <v>84930</v>
      </c>
      <c r="L469" s="66"/>
      <c r="M469" s="66"/>
      <c r="N469" s="66"/>
      <c r="O469" s="66">
        <f t="shared" si="102"/>
        <v>0</v>
      </c>
      <c r="P469" s="67"/>
      <c r="Q469" s="68">
        <f t="shared" si="97"/>
        <v>84930</v>
      </c>
      <c r="R469" s="68">
        <f t="shared" si="98"/>
        <v>0</v>
      </c>
      <c r="S469" s="68">
        <f t="shared" si="99"/>
        <v>84930</v>
      </c>
    </row>
    <row r="470" spans="2:19" x14ac:dyDescent="0.2">
      <c r="B470" s="48">
        <f t="shared" si="100"/>
        <v>19</v>
      </c>
      <c r="C470" s="11"/>
      <c r="D470" s="11"/>
      <c r="E470" s="11"/>
      <c r="F470" s="65"/>
      <c r="G470" s="10">
        <v>633</v>
      </c>
      <c r="H470" s="11" t="s">
        <v>126</v>
      </c>
      <c r="I470" s="66">
        <v>52389</v>
      </c>
      <c r="J470" s="66">
        <v>-1581</v>
      </c>
      <c r="K470" s="66">
        <f t="shared" si="101"/>
        <v>50808</v>
      </c>
      <c r="L470" s="66"/>
      <c r="M470" s="66"/>
      <c r="N470" s="66"/>
      <c r="O470" s="66">
        <f t="shared" si="102"/>
        <v>0</v>
      </c>
      <c r="P470" s="67"/>
      <c r="Q470" s="68">
        <f t="shared" si="97"/>
        <v>52389</v>
      </c>
      <c r="R470" s="68">
        <f t="shared" si="98"/>
        <v>-1581</v>
      </c>
      <c r="S470" s="68">
        <f t="shared" si="99"/>
        <v>50808</v>
      </c>
    </row>
    <row r="471" spans="2:19" x14ac:dyDescent="0.2">
      <c r="B471" s="48">
        <f t="shared" si="100"/>
        <v>20</v>
      </c>
      <c r="C471" s="11"/>
      <c r="D471" s="11"/>
      <c r="E471" s="11"/>
      <c r="F471" s="65"/>
      <c r="G471" s="10">
        <v>635</v>
      </c>
      <c r="H471" s="11" t="s">
        <v>134</v>
      </c>
      <c r="I471" s="66">
        <f>23000-9785</f>
        <v>13215</v>
      </c>
      <c r="J471" s="66"/>
      <c r="K471" s="66">
        <f t="shared" si="101"/>
        <v>13215</v>
      </c>
      <c r="L471" s="66"/>
      <c r="M471" s="66"/>
      <c r="N471" s="66"/>
      <c r="O471" s="66">
        <f t="shared" si="102"/>
        <v>0</v>
      </c>
      <c r="P471" s="67"/>
      <c r="Q471" s="68">
        <f t="shared" si="97"/>
        <v>13215</v>
      </c>
      <c r="R471" s="68">
        <f t="shared" si="98"/>
        <v>0</v>
      </c>
      <c r="S471" s="68">
        <f t="shared" si="99"/>
        <v>13215</v>
      </c>
    </row>
    <row r="472" spans="2:19" x14ac:dyDescent="0.2">
      <c r="B472" s="48">
        <f t="shared" si="100"/>
        <v>21</v>
      </c>
      <c r="C472" s="11"/>
      <c r="D472" s="11"/>
      <c r="E472" s="11"/>
      <c r="F472" s="65"/>
      <c r="G472" s="10">
        <v>636</v>
      </c>
      <c r="H472" s="11" t="s">
        <v>127</v>
      </c>
      <c r="I472" s="66">
        <v>14100</v>
      </c>
      <c r="J472" s="66"/>
      <c r="K472" s="66">
        <f t="shared" si="101"/>
        <v>14100</v>
      </c>
      <c r="L472" s="66"/>
      <c r="M472" s="66"/>
      <c r="N472" s="66"/>
      <c r="O472" s="66">
        <f t="shared" si="102"/>
        <v>0</v>
      </c>
      <c r="P472" s="67"/>
      <c r="Q472" s="68">
        <f t="shared" si="97"/>
        <v>14100</v>
      </c>
      <c r="R472" s="68">
        <f t="shared" si="98"/>
        <v>0</v>
      </c>
      <c r="S472" s="68">
        <f t="shared" si="99"/>
        <v>14100</v>
      </c>
    </row>
    <row r="473" spans="2:19" x14ac:dyDescent="0.2">
      <c r="B473" s="48">
        <f t="shared" si="100"/>
        <v>22</v>
      </c>
      <c r="C473" s="11"/>
      <c r="D473" s="11"/>
      <c r="E473" s="11"/>
      <c r="F473" s="65"/>
      <c r="G473" s="10">
        <v>637</v>
      </c>
      <c r="H473" s="11" t="s">
        <v>123</v>
      </c>
      <c r="I473" s="66">
        <v>21290</v>
      </c>
      <c r="J473" s="66"/>
      <c r="K473" s="66">
        <f t="shared" si="101"/>
        <v>21290</v>
      </c>
      <c r="L473" s="66"/>
      <c r="M473" s="66"/>
      <c r="N473" s="66"/>
      <c r="O473" s="66">
        <f t="shared" si="102"/>
        <v>0</v>
      </c>
      <c r="P473" s="67"/>
      <c r="Q473" s="68">
        <f t="shared" si="97"/>
        <v>21290</v>
      </c>
      <c r="R473" s="68">
        <f t="shared" si="98"/>
        <v>0</v>
      </c>
      <c r="S473" s="68">
        <f t="shared" si="99"/>
        <v>21290</v>
      </c>
    </row>
    <row r="474" spans="2:19" x14ac:dyDescent="0.2">
      <c r="B474" s="48">
        <f t="shared" si="100"/>
        <v>23</v>
      </c>
      <c r="C474" s="9"/>
      <c r="D474" s="9"/>
      <c r="E474" s="9"/>
      <c r="F474" s="61" t="s">
        <v>188</v>
      </c>
      <c r="G474" s="8">
        <v>640</v>
      </c>
      <c r="H474" s="9" t="s">
        <v>130</v>
      </c>
      <c r="I474" s="62">
        <v>450</v>
      </c>
      <c r="J474" s="62"/>
      <c r="K474" s="62">
        <f t="shared" si="101"/>
        <v>450</v>
      </c>
      <c r="L474" s="62"/>
      <c r="M474" s="62"/>
      <c r="N474" s="62"/>
      <c r="O474" s="62">
        <f t="shared" si="102"/>
        <v>0</v>
      </c>
      <c r="P474" s="63"/>
      <c r="Q474" s="64">
        <f t="shared" si="97"/>
        <v>450</v>
      </c>
      <c r="R474" s="64">
        <f t="shared" si="98"/>
        <v>0</v>
      </c>
      <c r="S474" s="64">
        <f t="shared" si="99"/>
        <v>450</v>
      </c>
    </row>
    <row r="475" spans="2:19" x14ac:dyDescent="0.2">
      <c r="B475" s="48">
        <f t="shared" si="100"/>
        <v>24</v>
      </c>
      <c r="C475" s="9"/>
      <c r="D475" s="9"/>
      <c r="E475" s="9"/>
      <c r="F475" s="61" t="s">
        <v>188</v>
      </c>
      <c r="G475" s="8">
        <v>600</v>
      </c>
      <c r="H475" s="9" t="s">
        <v>607</v>
      </c>
      <c r="I475" s="62">
        <v>0</v>
      </c>
      <c r="J475" s="62">
        <v>1281</v>
      </c>
      <c r="K475" s="62">
        <f t="shared" si="101"/>
        <v>1281</v>
      </c>
      <c r="L475" s="62"/>
      <c r="M475" s="62"/>
      <c r="N475" s="62"/>
      <c r="O475" s="62"/>
      <c r="P475" s="63"/>
      <c r="Q475" s="64">
        <f t="shared" si="97"/>
        <v>0</v>
      </c>
      <c r="R475" s="64">
        <f t="shared" si="98"/>
        <v>1281</v>
      </c>
      <c r="S475" s="64">
        <f t="shared" si="99"/>
        <v>1281</v>
      </c>
    </row>
    <row r="476" spans="2:19" ht="15" x14ac:dyDescent="0.25">
      <c r="B476" s="48">
        <f t="shared" si="100"/>
        <v>25</v>
      </c>
      <c r="C476" s="166"/>
      <c r="D476" s="166"/>
      <c r="E476" s="166">
        <v>4</v>
      </c>
      <c r="F476" s="167"/>
      <c r="G476" s="167"/>
      <c r="H476" s="166" t="s">
        <v>84</v>
      </c>
      <c r="I476" s="168">
        <f>I477+I482+I494+I506+I518+I527+I537+I550+I562+I571+I580+I590+I602+I611+I620+I630</f>
        <v>5874669</v>
      </c>
      <c r="J476" s="168">
        <f>J477+J482+J494+J506+J518+J527+J537+J550+J562+J571+J580+J590+J602+J611+J620+J630</f>
        <v>23198</v>
      </c>
      <c r="K476" s="168">
        <f t="shared" si="101"/>
        <v>5897867</v>
      </c>
      <c r="L476" s="58"/>
      <c r="M476" s="168">
        <f>M482+M494+M506+M518+M527+M537+M550+M562+M571+M590+M602+M611+M620+M630+M580</f>
        <v>198000</v>
      </c>
      <c r="N476" s="168">
        <f>N482+N494+N506+N518+N527+N537+N550+N562+N571+N590+N602+N611+N620+N630+N580</f>
        <v>56500</v>
      </c>
      <c r="O476" s="168">
        <f t="shared" si="102"/>
        <v>254500</v>
      </c>
      <c r="P476" s="59"/>
      <c r="Q476" s="169">
        <f t="shared" si="97"/>
        <v>6072669</v>
      </c>
      <c r="R476" s="169">
        <f t="shared" si="98"/>
        <v>79698</v>
      </c>
      <c r="S476" s="169">
        <f t="shared" si="99"/>
        <v>6152367</v>
      </c>
    </row>
    <row r="477" spans="2:19" x14ac:dyDescent="0.2">
      <c r="B477" s="48">
        <f t="shared" si="100"/>
        <v>26</v>
      </c>
      <c r="C477" s="9"/>
      <c r="D477" s="9"/>
      <c r="E477" s="9"/>
      <c r="F477" s="61" t="s">
        <v>188</v>
      </c>
      <c r="G477" s="8">
        <v>630</v>
      </c>
      <c r="H477" s="9" t="s">
        <v>122</v>
      </c>
      <c r="I477" s="62">
        <f>SUM(I478:I479)</f>
        <v>11210</v>
      </c>
      <c r="J477" s="62">
        <f>SUM(J478:J481)</f>
        <v>44983</v>
      </c>
      <c r="K477" s="62">
        <f t="shared" si="101"/>
        <v>56193</v>
      </c>
      <c r="L477" s="62"/>
      <c r="M477" s="62"/>
      <c r="N477" s="62"/>
      <c r="O477" s="62">
        <f t="shared" si="102"/>
        <v>0</v>
      </c>
      <c r="P477" s="63"/>
      <c r="Q477" s="64">
        <f t="shared" si="97"/>
        <v>11210</v>
      </c>
      <c r="R477" s="64">
        <f t="shared" si="98"/>
        <v>44983</v>
      </c>
      <c r="S477" s="64">
        <f t="shared" si="99"/>
        <v>56193</v>
      </c>
    </row>
    <row r="478" spans="2:19" x14ac:dyDescent="0.2">
      <c r="B478" s="48">
        <f t="shared" si="100"/>
        <v>27</v>
      </c>
      <c r="C478" s="11"/>
      <c r="D478" s="11"/>
      <c r="E478" s="11"/>
      <c r="F478" s="65"/>
      <c r="G478" s="10">
        <v>635</v>
      </c>
      <c r="H478" s="11" t="s">
        <v>134</v>
      </c>
      <c r="I478" s="66">
        <f>30000-21000</f>
        <v>9000</v>
      </c>
      <c r="J478" s="66">
        <f>30000-5000</f>
        <v>25000</v>
      </c>
      <c r="K478" s="66">
        <f t="shared" si="101"/>
        <v>34000</v>
      </c>
      <c r="L478" s="66"/>
      <c r="M478" s="66"/>
      <c r="N478" s="66"/>
      <c r="O478" s="66">
        <f t="shared" si="102"/>
        <v>0</v>
      </c>
      <c r="P478" s="67"/>
      <c r="Q478" s="68">
        <f t="shared" si="97"/>
        <v>9000</v>
      </c>
      <c r="R478" s="68">
        <f t="shared" si="98"/>
        <v>25000</v>
      </c>
      <c r="S478" s="68">
        <f t="shared" si="99"/>
        <v>34000</v>
      </c>
    </row>
    <row r="479" spans="2:19" x14ac:dyDescent="0.2">
      <c r="B479" s="48">
        <f t="shared" si="100"/>
        <v>28</v>
      </c>
      <c r="C479" s="11"/>
      <c r="D479" s="11"/>
      <c r="E479" s="11"/>
      <c r="F479" s="65"/>
      <c r="G479" s="10">
        <v>637</v>
      </c>
      <c r="H479" s="11" t="s">
        <v>452</v>
      </c>
      <c r="I479" s="66">
        <v>2210</v>
      </c>
      <c r="J479" s="66"/>
      <c r="K479" s="66">
        <f t="shared" si="101"/>
        <v>2210</v>
      </c>
      <c r="L479" s="66"/>
      <c r="M479" s="66"/>
      <c r="N479" s="66"/>
      <c r="O479" s="66">
        <f t="shared" si="102"/>
        <v>0</v>
      </c>
      <c r="P479" s="67"/>
      <c r="Q479" s="68">
        <f t="shared" si="97"/>
        <v>2210</v>
      </c>
      <c r="R479" s="68">
        <f t="shared" si="98"/>
        <v>0</v>
      </c>
      <c r="S479" s="68">
        <f t="shared" si="99"/>
        <v>2210</v>
      </c>
    </row>
    <row r="480" spans="2:19" x14ac:dyDescent="0.2">
      <c r="B480" s="48">
        <f t="shared" si="100"/>
        <v>29</v>
      </c>
      <c r="C480" s="11"/>
      <c r="D480" s="11"/>
      <c r="E480" s="11"/>
      <c r="F480" s="65"/>
      <c r="G480" s="10">
        <v>600</v>
      </c>
      <c r="H480" s="11" t="s">
        <v>607</v>
      </c>
      <c r="I480" s="66">
        <v>0</v>
      </c>
      <c r="J480" s="66">
        <v>14083</v>
      </c>
      <c r="K480" s="66">
        <f t="shared" si="101"/>
        <v>14083</v>
      </c>
      <c r="L480" s="66"/>
      <c r="M480" s="66"/>
      <c r="N480" s="66"/>
      <c r="O480" s="66">
        <f>M480+N480</f>
        <v>0</v>
      </c>
      <c r="P480" s="67"/>
      <c r="Q480" s="68">
        <f t="shared" si="97"/>
        <v>0</v>
      </c>
      <c r="R480" s="68">
        <f t="shared" si="98"/>
        <v>14083</v>
      </c>
      <c r="S480" s="68">
        <f t="shared" si="99"/>
        <v>14083</v>
      </c>
    </row>
    <row r="481" spans="2:19" x14ac:dyDescent="0.2">
      <c r="B481" s="48">
        <f t="shared" si="100"/>
        <v>30</v>
      </c>
      <c r="C481" s="11"/>
      <c r="D481" s="11"/>
      <c r="E481" s="11"/>
      <c r="F481" s="65"/>
      <c r="G481" s="10">
        <v>637</v>
      </c>
      <c r="H481" s="11" t="s">
        <v>669</v>
      </c>
      <c r="I481" s="66">
        <v>0</v>
      </c>
      <c r="J481" s="66">
        <v>5900</v>
      </c>
      <c r="K481" s="66">
        <f t="shared" ref="K481" si="103">I481+J481</f>
        <v>5900</v>
      </c>
      <c r="L481" s="66"/>
      <c r="M481" s="66"/>
      <c r="N481" s="66"/>
      <c r="O481" s="66">
        <f>M481+N481</f>
        <v>0</v>
      </c>
      <c r="P481" s="67"/>
      <c r="Q481" s="68">
        <f t="shared" ref="Q481" si="104">I481+M481</f>
        <v>0</v>
      </c>
      <c r="R481" s="68">
        <f t="shared" ref="R481" si="105">J481+N481</f>
        <v>5900</v>
      </c>
      <c r="S481" s="68">
        <f t="shared" ref="S481" si="106">K481+O481</f>
        <v>5900</v>
      </c>
    </row>
    <row r="482" spans="2:19" x14ac:dyDescent="0.2">
      <c r="B482" s="48">
        <f t="shared" si="100"/>
        <v>31</v>
      </c>
      <c r="C482" s="184"/>
      <c r="D482" s="184"/>
      <c r="E482" s="184" t="s">
        <v>92</v>
      </c>
      <c r="F482" s="185"/>
      <c r="G482" s="185"/>
      <c r="H482" s="184" t="s">
        <v>65</v>
      </c>
      <c r="I482" s="186">
        <f>I483+I484+I485+I490</f>
        <v>281488</v>
      </c>
      <c r="J482" s="186">
        <f>J483+J484+J485+J490</f>
        <v>0</v>
      </c>
      <c r="K482" s="186">
        <f t="shared" si="101"/>
        <v>281488</v>
      </c>
      <c r="L482" s="62"/>
      <c r="M482" s="186">
        <f>M491</f>
        <v>10000</v>
      </c>
      <c r="N482" s="186">
        <f>N491</f>
        <v>0</v>
      </c>
      <c r="O482" s="186">
        <f t="shared" si="102"/>
        <v>10000</v>
      </c>
      <c r="P482" s="63"/>
      <c r="Q482" s="187">
        <f t="shared" si="97"/>
        <v>291488</v>
      </c>
      <c r="R482" s="187">
        <f t="shared" si="98"/>
        <v>0</v>
      </c>
      <c r="S482" s="187">
        <f t="shared" si="99"/>
        <v>291488</v>
      </c>
    </row>
    <row r="483" spans="2:19" x14ac:dyDescent="0.2">
      <c r="B483" s="48">
        <f t="shared" si="100"/>
        <v>32</v>
      </c>
      <c r="C483" s="9"/>
      <c r="D483" s="9"/>
      <c r="E483" s="9"/>
      <c r="F483" s="61" t="s">
        <v>188</v>
      </c>
      <c r="G483" s="8">
        <v>610</v>
      </c>
      <c r="H483" s="9" t="s">
        <v>132</v>
      </c>
      <c r="I483" s="62">
        <f>143070+100</f>
        <v>143170</v>
      </c>
      <c r="J483" s="62">
        <v>691</v>
      </c>
      <c r="K483" s="62">
        <f t="shared" si="101"/>
        <v>143861</v>
      </c>
      <c r="L483" s="62"/>
      <c r="M483" s="62"/>
      <c r="N483" s="62"/>
      <c r="O483" s="62">
        <f t="shared" si="102"/>
        <v>0</v>
      </c>
      <c r="P483" s="63"/>
      <c r="Q483" s="64">
        <f t="shared" si="97"/>
        <v>143170</v>
      </c>
      <c r="R483" s="64">
        <f t="shared" si="98"/>
        <v>691</v>
      </c>
      <c r="S483" s="64">
        <f t="shared" si="99"/>
        <v>143861</v>
      </c>
    </row>
    <row r="484" spans="2:19" x14ac:dyDescent="0.2">
      <c r="B484" s="48">
        <f t="shared" si="100"/>
        <v>33</v>
      </c>
      <c r="C484" s="9"/>
      <c r="D484" s="9"/>
      <c r="E484" s="9"/>
      <c r="F484" s="61" t="s">
        <v>188</v>
      </c>
      <c r="G484" s="8">
        <v>620</v>
      </c>
      <c r="H484" s="9" t="s">
        <v>125</v>
      </c>
      <c r="I484" s="62">
        <f>53259+35</f>
        <v>53294</v>
      </c>
      <c r="J484" s="62">
        <v>267</v>
      </c>
      <c r="K484" s="62">
        <f t="shared" si="101"/>
        <v>53561</v>
      </c>
      <c r="L484" s="62"/>
      <c r="M484" s="62"/>
      <c r="N484" s="62"/>
      <c r="O484" s="62">
        <f t="shared" si="102"/>
        <v>0</v>
      </c>
      <c r="P484" s="63"/>
      <c r="Q484" s="64">
        <f t="shared" si="97"/>
        <v>53294</v>
      </c>
      <c r="R484" s="64">
        <f t="shared" si="98"/>
        <v>267</v>
      </c>
      <c r="S484" s="64">
        <f t="shared" si="99"/>
        <v>53561</v>
      </c>
    </row>
    <row r="485" spans="2:19" x14ac:dyDescent="0.2">
      <c r="B485" s="48">
        <f t="shared" si="100"/>
        <v>34</v>
      </c>
      <c r="C485" s="9"/>
      <c r="D485" s="9"/>
      <c r="E485" s="9"/>
      <c r="F485" s="61" t="s">
        <v>188</v>
      </c>
      <c r="G485" s="8">
        <v>630</v>
      </c>
      <c r="H485" s="9" t="s">
        <v>122</v>
      </c>
      <c r="I485" s="62">
        <f>SUM(I486:I489)</f>
        <v>83740</v>
      </c>
      <c r="J485" s="62">
        <f>SUM(J486:J489)</f>
        <v>-958</v>
      </c>
      <c r="K485" s="62">
        <f t="shared" si="101"/>
        <v>82782</v>
      </c>
      <c r="L485" s="62"/>
      <c r="M485" s="62"/>
      <c r="N485" s="62"/>
      <c r="O485" s="62">
        <f t="shared" si="102"/>
        <v>0</v>
      </c>
      <c r="P485" s="63"/>
      <c r="Q485" s="64">
        <f t="shared" si="97"/>
        <v>83740</v>
      </c>
      <c r="R485" s="64">
        <f t="shared" si="98"/>
        <v>-958</v>
      </c>
      <c r="S485" s="64">
        <f t="shared" si="99"/>
        <v>82782</v>
      </c>
    </row>
    <row r="486" spans="2:19" x14ac:dyDescent="0.2">
      <c r="B486" s="48">
        <f t="shared" si="100"/>
        <v>35</v>
      </c>
      <c r="C486" s="11"/>
      <c r="D486" s="11"/>
      <c r="E486" s="11"/>
      <c r="F486" s="65"/>
      <c r="G486" s="10">
        <v>632</v>
      </c>
      <c r="H486" s="11" t="s">
        <v>135</v>
      </c>
      <c r="I486" s="66">
        <v>45210</v>
      </c>
      <c r="J486" s="66"/>
      <c r="K486" s="66">
        <f t="shared" si="101"/>
        <v>45210</v>
      </c>
      <c r="L486" s="66"/>
      <c r="M486" s="66"/>
      <c r="N486" s="66"/>
      <c r="O486" s="66">
        <f t="shared" si="102"/>
        <v>0</v>
      </c>
      <c r="P486" s="67"/>
      <c r="Q486" s="68">
        <f t="shared" si="97"/>
        <v>45210</v>
      </c>
      <c r="R486" s="68">
        <f t="shared" si="98"/>
        <v>0</v>
      </c>
      <c r="S486" s="68">
        <f t="shared" si="99"/>
        <v>45210</v>
      </c>
    </row>
    <row r="487" spans="2:19" x14ac:dyDescent="0.2">
      <c r="B487" s="48">
        <f t="shared" si="100"/>
        <v>36</v>
      </c>
      <c r="C487" s="11"/>
      <c r="D487" s="11"/>
      <c r="E487" s="11"/>
      <c r="F487" s="65"/>
      <c r="G487" s="10">
        <v>633</v>
      </c>
      <c r="H487" s="11" t="s">
        <v>126</v>
      </c>
      <c r="I487" s="66">
        <f>23201-3881</f>
        <v>19320</v>
      </c>
      <c r="J487" s="66">
        <v>-958</v>
      </c>
      <c r="K487" s="66">
        <f t="shared" si="101"/>
        <v>18362</v>
      </c>
      <c r="L487" s="66"/>
      <c r="M487" s="66"/>
      <c r="N487" s="66"/>
      <c r="O487" s="66">
        <f t="shared" si="102"/>
        <v>0</v>
      </c>
      <c r="P487" s="67"/>
      <c r="Q487" s="68">
        <f t="shared" si="97"/>
        <v>19320</v>
      </c>
      <c r="R487" s="68">
        <f t="shared" si="98"/>
        <v>-958</v>
      </c>
      <c r="S487" s="68">
        <f t="shared" si="99"/>
        <v>18362</v>
      </c>
    </row>
    <row r="488" spans="2:19" x14ac:dyDescent="0.2">
      <c r="B488" s="48">
        <f t="shared" si="100"/>
        <v>37</v>
      </c>
      <c r="C488" s="11"/>
      <c r="D488" s="11"/>
      <c r="E488" s="11"/>
      <c r="F488" s="65"/>
      <c r="G488" s="10">
        <v>635</v>
      </c>
      <c r="H488" s="11" t="s">
        <v>134</v>
      </c>
      <c r="I488" s="66">
        <f>3000+10000</f>
        <v>13000</v>
      </c>
      <c r="J488" s="66"/>
      <c r="K488" s="66">
        <f t="shared" si="101"/>
        <v>13000</v>
      </c>
      <c r="L488" s="66"/>
      <c r="M488" s="66"/>
      <c r="N488" s="66"/>
      <c r="O488" s="66">
        <f t="shared" si="102"/>
        <v>0</v>
      </c>
      <c r="P488" s="67"/>
      <c r="Q488" s="68">
        <f t="shared" si="97"/>
        <v>13000</v>
      </c>
      <c r="R488" s="68">
        <f t="shared" si="98"/>
        <v>0</v>
      </c>
      <c r="S488" s="68">
        <f t="shared" si="99"/>
        <v>13000</v>
      </c>
    </row>
    <row r="489" spans="2:19" s="164" customFormat="1" x14ac:dyDescent="0.2">
      <c r="B489" s="48">
        <f t="shared" si="100"/>
        <v>38</v>
      </c>
      <c r="C489" s="11"/>
      <c r="D489" s="11"/>
      <c r="E489" s="11"/>
      <c r="F489" s="65"/>
      <c r="G489" s="10">
        <v>637</v>
      </c>
      <c r="H489" s="11" t="s">
        <v>123</v>
      </c>
      <c r="I489" s="66">
        <v>6210</v>
      </c>
      <c r="J489" s="66"/>
      <c r="K489" s="66">
        <f t="shared" si="101"/>
        <v>6210</v>
      </c>
      <c r="L489" s="66"/>
      <c r="M489" s="66"/>
      <c r="N489" s="66"/>
      <c r="O489" s="66">
        <f t="shared" si="102"/>
        <v>0</v>
      </c>
      <c r="P489" s="67"/>
      <c r="Q489" s="68">
        <f t="shared" si="97"/>
        <v>6210</v>
      </c>
      <c r="R489" s="68">
        <f t="shared" si="98"/>
        <v>0</v>
      </c>
      <c r="S489" s="68">
        <f t="shared" si="99"/>
        <v>6210</v>
      </c>
    </row>
    <row r="490" spans="2:19" s="164" customFormat="1" x14ac:dyDescent="0.2">
      <c r="B490" s="48">
        <f t="shared" si="100"/>
        <v>39</v>
      </c>
      <c r="C490" s="9"/>
      <c r="D490" s="9"/>
      <c r="E490" s="9"/>
      <c r="F490" s="61"/>
      <c r="G490" s="8">
        <v>640</v>
      </c>
      <c r="H490" s="9" t="s">
        <v>130</v>
      </c>
      <c r="I490" s="62">
        <v>1284</v>
      </c>
      <c r="J490" s="62"/>
      <c r="K490" s="62">
        <f t="shared" si="101"/>
        <v>1284</v>
      </c>
      <c r="L490" s="62"/>
      <c r="M490" s="62"/>
      <c r="N490" s="62"/>
      <c r="O490" s="62">
        <f t="shared" si="102"/>
        <v>0</v>
      </c>
      <c r="P490" s="63"/>
      <c r="Q490" s="64">
        <f t="shared" si="97"/>
        <v>1284</v>
      </c>
      <c r="R490" s="64">
        <f t="shared" si="98"/>
        <v>0</v>
      </c>
      <c r="S490" s="64">
        <f t="shared" si="99"/>
        <v>1284</v>
      </c>
    </row>
    <row r="491" spans="2:19" x14ac:dyDescent="0.2">
      <c r="B491" s="48">
        <f t="shared" si="100"/>
        <v>40</v>
      </c>
      <c r="C491" s="9"/>
      <c r="D491" s="9"/>
      <c r="E491" s="9"/>
      <c r="F491" s="61" t="s">
        <v>188</v>
      </c>
      <c r="G491" s="8">
        <v>710</v>
      </c>
      <c r="H491" s="9" t="s">
        <v>176</v>
      </c>
      <c r="I491" s="62"/>
      <c r="J491" s="62"/>
      <c r="K491" s="62">
        <f t="shared" si="101"/>
        <v>0</v>
      </c>
      <c r="L491" s="62"/>
      <c r="M491" s="62">
        <f>M492</f>
        <v>10000</v>
      </c>
      <c r="N491" s="62">
        <f>N492</f>
        <v>0</v>
      </c>
      <c r="O491" s="62">
        <f t="shared" si="102"/>
        <v>10000</v>
      </c>
      <c r="P491" s="63"/>
      <c r="Q491" s="64">
        <f t="shared" si="97"/>
        <v>10000</v>
      </c>
      <c r="R491" s="64">
        <f t="shared" si="98"/>
        <v>0</v>
      </c>
      <c r="S491" s="64">
        <f t="shared" si="99"/>
        <v>10000</v>
      </c>
    </row>
    <row r="492" spans="2:19" x14ac:dyDescent="0.2">
      <c r="B492" s="48">
        <f t="shared" si="100"/>
        <v>41</v>
      </c>
      <c r="C492" s="11"/>
      <c r="D492" s="11"/>
      <c r="E492" s="11"/>
      <c r="F492" s="65"/>
      <c r="G492" s="10">
        <v>716</v>
      </c>
      <c r="H492" s="11" t="s">
        <v>216</v>
      </c>
      <c r="I492" s="66"/>
      <c r="J492" s="66"/>
      <c r="K492" s="66">
        <f t="shared" si="101"/>
        <v>0</v>
      </c>
      <c r="L492" s="66"/>
      <c r="M492" s="66">
        <f>M493</f>
        <v>10000</v>
      </c>
      <c r="N492" s="66">
        <f>N493</f>
        <v>0</v>
      </c>
      <c r="O492" s="66">
        <f t="shared" si="102"/>
        <v>10000</v>
      </c>
      <c r="P492" s="67"/>
      <c r="Q492" s="68">
        <f t="shared" si="97"/>
        <v>10000</v>
      </c>
      <c r="R492" s="68">
        <f t="shared" si="98"/>
        <v>0</v>
      </c>
      <c r="S492" s="68">
        <f t="shared" si="99"/>
        <v>10000</v>
      </c>
    </row>
    <row r="493" spans="2:19" x14ac:dyDescent="0.2">
      <c r="B493" s="48">
        <f t="shared" si="100"/>
        <v>42</v>
      </c>
      <c r="C493" s="13"/>
      <c r="D493" s="13"/>
      <c r="E493" s="13"/>
      <c r="F493" s="188"/>
      <c r="G493" s="82"/>
      <c r="H493" s="13" t="s">
        <v>552</v>
      </c>
      <c r="I493" s="83"/>
      <c r="J493" s="83"/>
      <c r="K493" s="83">
        <f t="shared" si="101"/>
        <v>0</v>
      </c>
      <c r="L493" s="83"/>
      <c r="M493" s="83">
        <v>10000</v>
      </c>
      <c r="N493" s="83"/>
      <c r="O493" s="83">
        <f t="shared" si="102"/>
        <v>10000</v>
      </c>
      <c r="P493" s="84"/>
      <c r="Q493" s="85">
        <f t="shared" si="97"/>
        <v>10000</v>
      </c>
      <c r="R493" s="85">
        <f t="shared" si="98"/>
        <v>0</v>
      </c>
      <c r="S493" s="85">
        <f t="shared" si="99"/>
        <v>10000</v>
      </c>
    </row>
    <row r="494" spans="2:19" x14ac:dyDescent="0.2">
      <c r="B494" s="48">
        <f t="shared" si="100"/>
        <v>43</v>
      </c>
      <c r="C494" s="184"/>
      <c r="D494" s="184"/>
      <c r="E494" s="184" t="s">
        <v>91</v>
      </c>
      <c r="F494" s="185"/>
      <c r="G494" s="185"/>
      <c r="H494" s="184" t="s">
        <v>227</v>
      </c>
      <c r="I494" s="186">
        <f>I495+I496+I497+I502</f>
        <v>472423</v>
      </c>
      <c r="J494" s="186">
        <f>J495+J496+J497+J502</f>
        <v>1768</v>
      </c>
      <c r="K494" s="186">
        <f t="shared" si="101"/>
        <v>474191</v>
      </c>
      <c r="L494" s="62"/>
      <c r="M494" s="186">
        <f>M503</f>
        <v>36000</v>
      </c>
      <c r="N494" s="186">
        <f>N503</f>
        <v>0</v>
      </c>
      <c r="O494" s="186">
        <f t="shared" si="102"/>
        <v>36000</v>
      </c>
      <c r="P494" s="63"/>
      <c r="Q494" s="187">
        <f t="shared" si="97"/>
        <v>508423</v>
      </c>
      <c r="R494" s="187">
        <f t="shared" si="98"/>
        <v>1768</v>
      </c>
      <c r="S494" s="187">
        <f t="shared" si="99"/>
        <v>510191</v>
      </c>
    </row>
    <row r="495" spans="2:19" x14ac:dyDescent="0.2">
      <c r="B495" s="48">
        <f t="shared" si="100"/>
        <v>44</v>
      </c>
      <c r="C495" s="9"/>
      <c r="D495" s="9"/>
      <c r="E495" s="9"/>
      <c r="F495" s="61" t="s">
        <v>188</v>
      </c>
      <c r="G495" s="8">
        <v>610</v>
      </c>
      <c r="H495" s="9" t="s">
        <v>132</v>
      </c>
      <c r="I495" s="62">
        <v>251818</v>
      </c>
      <c r="J495" s="62">
        <v>1364</v>
      </c>
      <c r="K495" s="62">
        <f t="shared" si="101"/>
        <v>253182</v>
      </c>
      <c r="L495" s="62"/>
      <c r="M495" s="62"/>
      <c r="N495" s="62"/>
      <c r="O495" s="62">
        <f t="shared" si="102"/>
        <v>0</v>
      </c>
      <c r="P495" s="63"/>
      <c r="Q495" s="64">
        <f t="shared" si="97"/>
        <v>251818</v>
      </c>
      <c r="R495" s="64">
        <f t="shared" si="98"/>
        <v>1364</v>
      </c>
      <c r="S495" s="64">
        <f t="shared" si="99"/>
        <v>253182</v>
      </c>
    </row>
    <row r="496" spans="2:19" x14ac:dyDescent="0.2">
      <c r="B496" s="48">
        <f t="shared" si="100"/>
        <v>45</v>
      </c>
      <c r="C496" s="9"/>
      <c r="D496" s="9"/>
      <c r="E496" s="9"/>
      <c r="F496" s="61" t="s">
        <v>188</v>
      </c>
      <c r="G496" s="8">
        <v>620</v>
      </c>
      <c r="H496" s="9" t="s">
        <v>125</v>
      </c>
      <c r="I496" s="62">
        <v>94388</v>
      </c>
      <c r="J496" s="62">
        <v>522</v>
      </c>
      <c r="K496" s="62">
        <f t="shared" si="101"/>
        <v>94910</v>
      </c>
      <c r="L496" s="62"/>
      <c r="M496" s="62"/>
      <c r="N496" s="62"/>
      <c r="O496" s="62">
        <f t="shared" si="102"/>
        <v>0</v>
      </c>
      <c r="P496" s="63"/>
      <c r="Q496" s="64">
        <f t="shared" si="97"/>
        <v>94388</v>
      </c>
      <c r="R496" s="64">
        <f t="shared" si="98"/>
        <v>522</v>
      </c>
      <c r="S496" s="64">
        <f t="shared" si="99"/>
        <v>94910</v>
      </c>
    </row>
    <row r="497" spans="2:19" x14ac:dyDescent="0.2">
      <c r="B497" s="48">
        <f t="shared" si="100"/>
        <v>46</v>
      </c>
      <c r="C497" s="9"/>
      <c r="D497" s="9"/>
      <c r="E497" s="9"/>
      <c r="F497" s="61" t="s">
        <v>188</v>
      </c>
      <c r="G497" s="8">
        <v>630</v>
      </c>
      <c r="H497" s="9" t="s">
        <v>122</v>
      </c>
      <c r="I497" s="62">
        <f>SUM(I498:I501)</f>
        <v>122226</v>
      </c>
      <c r="J497" s="62">
        <f>SUM(J498:J501)</f>
        <v>-118</v>
      </c>
      <c r="K497" s="62">
        <f t="shared" si="101"/>
        <v>122108</v>
      </c>
      <c r="L497" s="62"/>
      <c r="M497" s="62"/>
      <c r="N497" s="62"/>
      <c r="O497" s="62">
        <f t="shared" si="102"/>
        <v>0</v>
      </c>
      <c r="P497" s="63"/>
      <c r="Q497" s="64">
        <f t="shared" si="97"/>
        <v>122226</v>
      </c>
      <c r="R497" s="64">
        <f t="shared" si="98"/>
        <v>-118</v>
      </c>
      <c r="S497" s="64">
        <f t="shared" si="99"/>
        <v>122108</v>
      </c>
    </row>
    <row r="498" spans="2:19" x14ac:dyDescent="0.2">
      <c r="B498" s="48">
        <f t="shared" si="100"/>
        <v>47</v>
      </c>
      <c r="C498" s="11"/>
      <c r="D498" s="11"/>
      <c r="E498" s="11"/>
      <c r="F498" s="65"/>
      <c r="G498" s="10">
        <v>632</v>
      </c>
      <c r="H498" s="11" t="s">
        <v>135</v>
      </c>
      <c r="I498" s="66">
        <v>82815</v>
      </c>
      <c r="J498" s="66"/>
      <c r="K498" s="66">
        <f t="shared" si="101"/>
        <v>82815</v>
      </c>
      <c r="L498" s="66"/>
      <c r="M498" s="66"/>
      <c r="N498" s="66"/>
      <c r="O498" s="66">
        <f t="shared" si="102"/>
        <v>0</v>
      </c>
      <c r="P498" s="67"/>
      <c r="Q498" s="68">
        <f t="shared" si="97"/>
        <v>82815</v>
      </c>
      <c r="R498" s="68">
        <f t="shared" si="98"/>
        <v>0</v>
      </c>
      <c r="S498" s="68">
        <f t="shared" si="99"/>
        <v>82815</v>
      </c>
    </row>
    <row r="499" spans="2:19" x14ac:dyDescent="0.2">
      <c r="B499" s="48">
        <f t="shared" si="100"/>
        <v>48</v>
      </c>
      <c r="C499" s="11"/>
      <c r="D499" s="11"/>
      <c r="E499" s="11"/>
      <c r="F499" s="65"/>
      <c r="G499" s="10">
        <v>633</v>
      </c>
      <c r="H499" s="11" t="s">
        <v>126</v>
      </c>
      <c r="I499" s="66">
        <f>29711-2380</f>
        <v>27331</v>
      </c>
      <c r="J499" s="66">
        <v>-118</v>
      </c>
      <c r="K499" s="66">
        <f t="shared" si="101"/>
        <v>27213</v>
      </c>
      <c r="L499" s="66"/>
      <c r="M499" s="66"/>
      <c r="N499" s="66"/>
      <c r="O499" s="66">
        <f t="shared" si="102"/>
        <v>0</v>
      </c>
      <c r="P499" s="67"/>
      <c r="Q499" s="68">
        <f t="shared" si="97"/>
        <v>27331</v>
      </c>
      <c r="R499" s="68">
        <f t="shared" si="98"/>
        <v>-118</v>
      </c>
      <c r="S499" s="68">
        <f t="shared" si="99"/>
        <v>27213</v>
      </c>
    </row>
    <row r="500" spans="2:19" x14ac:dyDescent="0.2">
      <c r="B500" s="48">
        <f t="shared" si="100"/>
        <v>49</v>
      </c>
      <c r="C500" s="11"/>
      <c r="D500" s="11"/>
      <c r="E500" s="11"/>
      <c r="F500" s="65"/>
      <c r="G500" s="10">
        <v>635</v>
      </c>
      <c r="H500" s="11" t="s">
        <v>134</v>
      </c>
      <c r="I500" s="66">
        <f>5500-3000</f>
        <v>2500</v>
      </c>
      <c r="J500" s="66"/>
      <c r="K500" s="66">
        <f t="shared" si="101"/>
        <v>2500</v>
      </c>
      <c r="L500" s="66"/>
      <c r="M500" s="66"/>
      <c r="N500" s="66"/>
      <c r="O500" s="66">
        <f t="shared" si="102"/>
        <v>0</v>
      </c>
      <c r="P500" s="67"/>
      <c r="Q500" s="68">
        <f t="shared" si="97"/>
        <v>2500</v>
      </c>
      <c r="R500" s="68">
        <f t="shared" si="98"/>
        <v>0</v>
      </c>
      <c r="S500" s="68">
        <f t="shared" si="99"/>
        <v>2500</v>
      </c>
    </row>
    <row r="501" spans="2:19" x14ac:dyDescent="0.2">
      <c r="B501" s="48">
        <f t="shared" si="100"/>
        <v>50</v>
      </c>
      <c r="C501" s="11"/>
      <c r="D501" s="11"/>
      <c r="E501" s="11"/>
      <c r="F501" s="65"/>
      <c r="G501" s="10">
        <v>637</v>
      </c>
      <c r="H501" s="11" t="s">
        <v>123</v>
      </c>
      <c r="I501" s="66">
        <v>9580</v>
      </c>
      <c r="J501" s="66"/>
      <c r="K501" s="66">
        <f t="shared" si="101"/>
        <v>9580</v>
      </c>
      <c r="L501" s="66"/>
      <c r="M501" s="66"/>
      <c r="N501" s="66"/>
      <c r="O501" s="66">
        <f t="shared" si="102"/>
        <v>0</v>
      </c>
      <c r="P501" s="67"/>
      <c r="Q501" s="68">
        <f t="shared" si="97"/>
        <v>9580</v>
      </c>
      <c r="R501" s="68">
        <f t="shared" si="98"/>
        <v>0</v>
      </c>
      <c r="S501" s="68">
        <f t="shared" si="99"/>
        <v>9580</v>
      </c>
    </row>
    <row r="502" spans="2:19" x14ac:dyDescent="0.2">
      <c r="B502" s="48">
        <f t="shared" si="100"/>
        <v>51</v>
      </c>
      <c r="C502" s="9"/>
      <c r="D502" s="9"/>
      <c r="E502" s="9"/>
      <c r="F502" s="61" t="s">
        <v>188</v>
      </c>
      <c r="G502" s="8">
        <v>640</v>
      </c>
      <c r="H502" s="9" t="s">
        <v>130</v>
      </c>
      <c r="I502" s="62">
        <v>3991</v>
      </c>
      <c r="J502" s="62"/>
      <c r="K502" s="62">
        <f t="shared" si="101"/>
        <v>3991</v>
      </c>
      <c r="L502" s="62"/>
      <c r="M502" s="62"/>
      <c r="N502" s="62"/>
      <c r="O502" s="62">
        <f t="shared" si="102"/>
        <v>0</v>
      </c>
      <c r="P502" s="63"/>
      <c r="Q502" s="64">
        <f t="shared" si="97"/>
        <v>3991</v>
      </c>
      <c r="R502" s="64">
        <f t="shared" si="98"/>
        <v>0</v>
      </c>
      <c r="S502" s="64">
        <f t="shared" si="99"/>
        <v>3991</v>
      </c>
    </row>
    <row r="503" spans="2:19" x14ac:dyDescent="0.2">
      <c r="B503" s="48">
        <f t="shared" si="100"/>
        <v>52</v>
      </c>
      <c r="C503" s="9"/>
      <c r="D503" s="9"/>
      <c r="E503" s="9"/>
      <c r="F503" s="61" t="s">
        <v>188</v>
      </c>
      <c r="G503" s="8">
        <v>710</v>
      </c>
      <c r="H503" s="9" t="s">
        <v>176</v>
      </c>
      <c r="I503" s="62"/>
      <c r="J503" s="62"/>
      <c r="K503" s="62">
        <f t="shared" si="101"/>
        <v>0</v>
      </c>
      <c r="L503" s="62"/>
      <c r="M503" s="62">
        <f>M504</f>
        <v>36000</v>
      </c>
      <c r="N503" s="62">
        <f>N504</f>
        <v>0</v>
      </c>
      <c r="O503" s="62">
        <f t="shared" si="102"/>
        <v>36000</v>
      </c>
      <c r="P503" s="63"/>
      <c r="Q503" s="64">
        <f t="shared" si="97"/>
        <v>36000</v>
      </c>
      <c r="R503" s="64">
        <f t="shared" si="98"/>
        <v>0</v>
      </c>
      <c r="S503" s="64">
        <f t="shared" si="99"/>
        <v>36000</v>
      </c>
    </row>
    <row r="504" spans="2:19" x14ac:dyDescent="0.2">
      <c r="B504" s="48">
        <f t="shared" si="100"/>
        <v>53</v>
      </c>
      <c r="C504" s="11"/>
      <c r="D504" s="11"/>
      <c r="E504" s="11"/>
      <c r="F504" s="65"/>
      <c r="G504" s="10">
        <v>717</v>
      </c>
      <c r="H504" s="11" t="s">
        <v>183</v>
      </c>
      <c r="I504" s="66"/>
      <c r="J504" s="66"/>
      <c r="K504" s="66">
        <f t="shared" si="101"/>
        <v>0</v>
      </c>
      <c r="L504" s="66"/>
      <c r="M504" s="66">
        <f>M505</f>
        <v>36000</v>
      </c>
      <c r="N504" s="66">
        <f>N505</f>
        <v>0</v>
      </c>
      <c r="O504" s="66">
        <f t="shared" si="102"/>
        <v>36000</v>
      </c>
      <c r="P504" s="67"/>
      <c r="Q504" s="68">
        <f t="shared" si="97"/>
        <v>36000</v>
      </c>
      <c r="R504" s="68">
        <f t="shared" si="98"/>
        <v>0</v>
      </c>
      <c r="S504" s="68">
        <f t="shared" si="99"/>
        <v>36000</v>
      </c>
    </row>
    <row r="505" spans="2:19" x14ac:dyDescent="0.2">
      <c r="B505" s="48">
        <f t="shared" si="100"/>
        <v>54</v>
      </c>
      <c r="C505" s="13"/>
      <c r="D505" s="13"/>
      <c r="E505" s="13"/>
      <c r="F505" s="188"/>
      <c r="G505" s="82"/>
      <c r="H505" s="13" t="s">
        <v>544</v>
      </c>
      <c r="I505" s="83"/>
      <c r="J505" s="83"/>
      <c r="K505" s="83">
        <f t="shared" si="101"/>
        <v>0</v>
      </c>
      <c r="L505" s="83"/>
      <c r="M505" s="83">
        <v>36000</v>
      </c>
      <c r="N505" s="83"/>
      <c r="O505" s="83">
        <f t="shared" si="102"/>
        <v>36000</v>
      </c>
      <c r="P505" s="84"/>
      <c r="Q505" s="85">
        <f t="shared" si="97"/>
        <v>36000</v>
      </c>
      <c r="R505" s="85">
        <f t="shared" si="98"/>
        <v>0</v>
      </c>
      <c r="S505" s="85">
        <f t="shared" si="99"/>
        <v>36000</v>
      </c>
    </row>
    <row r="506" spans="2:19" x14ac:dyDescent="0.2">
      <c r="B506" s="48">
        <f t="shared" si="100"/>
        <v>55</v>
      </c>
      <c r="C506" s="184"/>
      <c r="D506" s="184"/>
      <c r="E506" s="184" t="s">
        <v>87</v>
      </c>
      <c r="F506" s="185"/>
      <c r="G506" s="185"/>
      <c r="H506" s="184" t="s">
        <v>64</v>
      </c>
      <c r="I506" s="186">
        <f>I507+I508+I509+I514</f>
        <v>289479</v>
      </c>
      <c r="J506" s="186">
        <f>J507+J508+J509+J514</f>
        <v>-884</v>
      </c>
      <c r="K506" s="186">
        <f t="shared" si="101"/>
        <v>288595</v>
      </c>
      <c r="L506" s="62"/>
      <c r="M506" s="186"/>
      <c r="N506" s="186">
        <f>N515</f>
        <v>18000</v>
      </c>
      <c r="O506" s="186">
        <f t="shared" si="102"/>
        <v>18000</v>
      </c>
      <c r="P506" s="63"/>
      <c r="Q506" s="187">
        <f t="shared" si="97"/>
        <v>289479</v>
      </c>
      <c r="R506" s="187">
        <f t="shared" si="98"/>
        <v>17116</v>
      </c>
      <c r="S506" s="187">
        <f t="shared" si="99"/>
        <v>306595</v>
      </c>
    </row>
    <row r="507" spans="2:19" x14ac:dyDescent="0.2">
      <c r="B507" s="48">
        <f t="shared" si="100"/>
        <v>56</v>
      </c>
      <c r="C507" s="9"/>
      <c r="D507" s="9"/>
      <c r="E507" s="9"/>
      <c r="F507" s="61" t="s">
        <v>188</v>
      </c>
      <c r="G507" s="8">
        <v>610</v>
      </c>
      <c r="H507" s="9" t="s">
        <v>132</v>
      </c>
      <c r="I507" s="62">
        <v>142444</v>
      </c>
      <c r="J507" s="62">
        <v>940</v>
      </c>
      <c r="K507" s="62">
        <f t="shared" si="101"/>
        <v>143384</v>
      </c>
      <c r="L507" s="62"/>
      <c r="M507" s="62"/>
      <c r="N507" s="62"/>
      <c r="O507" s="62">
        <f t="shared" si="102"/>
        <v>0</v>
      </c>
      <c r="P507" s="63"/>
      <c r="Q507" s="64">
        <f t="shared" si="97"/>
        <v>142444</v>
      </c>
      <c r="R507" s="64">
        <f t="shared" si="98"/>
        <v>940</v>
      </c>
      <c r="S507" s="64">
        <f t="shared" si="99"/>
        <v>143384</v>
      </c>
    </row>
    <row r="508" spans="2:19" x14ac:dyDescent="0.2">
      <c r="B508" s="48">
        <f t="shared" si="100"/>
        <v>57</v>
      </c>
      <c r="C508" s="9"/>
      <c r="D508" s="9"/>
      <c r="E508" s="9"/>
      <c r="F508" s="61" t="s">
        <v>188</v>
      </c>
      <c r="G508" s="8">
        <v>620</v>
      </c>
      <c r="H508" s="9" t="s">
        <v>125</v>
      </c>
      <c r="I508" s="62">
        <v>52772</v>
      </c>
      <c r="J508" s="62">
        <v>367</v>
      </c>
      <c r="K508" s="62">
        <f t="shared" si="101"/>
        <v>53139</v>
      </c>
      <c r="L508" s="62"/>
      <c r="M508" s="62"/>
      <c r="N508" s="62"/>
      <c r="O508" s="62">
        <f t="shared" si="102"/>
        <v>0</v>
      </c>
      <c r="P508" s="63"/>
      <c r="Q508" s="64">
        <f t="shared" si="97"/>
        <v>52772</v>
      </c>
      <c r="R508" s="64">
        <f t="shared" si="98"/>
        <v>367</v>
      </c>
      <c r="S508" s="64">
        <f t="shared" si="99"/>
        <v>53139</v>
      </c>
    </row>
    <row r="509" spans="2:19" x14ac:dyDescent="0.2">
      <c r="B509" s="48">
        <f t="shared" si="100"/>
        <v>58</v>
      </c>
      <c r="C509" s="9"/>
      <c r="D509" s="9"/>
      <c r="E509" s="9"/>
      <c r="F509" s="61" t="s">
        <v>188</v>
      </c>
      <c r="G509" s="8">
        <v>630</v>
      </c>
      <c r="H509" s="9" t="s">
        <v>122</v>
      </c>
      <c r="I509" s="62">
        <f>SUM(I510:I513)</f>
        <v>93813</v>
      </c>
      <c r="J509" s="62">
        <f>SUM(J510:J513)</f>
        <v>-2191</v>
      </c>
      <c r="K509" s="62">
        <f t="shared" si="101"/>
        <v>91622</v>
      </c>
      <c r="L509" s="62"/>
      <c r="M509" s="62"/>
      <c r="N509" s="62"/>
      <c r="O509" s="62">
        <f t="shared" si="102"/>
        <v>0</v>
      </c>
      <c r="P509" s="63"/>
      <c r="Q509" s="64">
        <f t="shared" si="97"/>
        <v>93813</v>
      </c>
      <c r="R509" s="64">
        <f t="shared" si="98"/>
        <v>-2191</v>
      </c>
      <c r="S509" s="64">
        <f t="shared" si="99"/>
        <v>91622</v>
      </c>
    </row>
    <row r="510" spans="2:19" x14ac:dyDescent="0.2">
      <c r="B510" s="48">
        <f t="shared" si="100"/>
        <v>59</v>
      </c>
      <c r="C510" s="11"/>
      <c r="D510" s="11"/>
      <c r="E510" s="11"/>
      <c r="F510" s="65"/>
      <c r="G510" s="10">
        <v>632</v>
      </c>
      <c r="H510" s="11" t="s">
        <v>135</v>
      </c>
      <c r="I510" s="66">
        <v>46280</v>
      </c>
      <c r="J510" s="66"/>
      <c r="K510" s="66">
        <f t="shared" si="101"/>
        <v>46280</v>
      </c>
      <c r="L510" s="66"/>
      <c r="M510" s="66"/>
      <c r="N510" s="66"/>
      <c r="O510" s="66">
        <f t="shared" si="102"/>
        <v>0</v>
      </c>
      <c r="P510" s="67"/>
      <c r="Q510" s="68">
        <f t="shared" si="97"/>
        <v>46280</v>
      </c>
      <c r="R510" s="68">
        <f t="shared" si="98"/>
        <v>0</v>
      </c>
      <c r="S510" s="68">
        <f t="shared" si="99"/>
        <v>46280</v>
      </c>
    </row>
    <row r="511" spans="2:19" x14ac:dyDescent="0.2">
      <c r="B511" s="48">
        <f t="shared" si="100"/>
        <v>60</v>
      </c>
      <c r="C511" s="11"/>
      <c r="D511" s="11"/>
      <c r="E511" s="11"/>
      <c r="F511" s="65"/>
      <c r="G511" s="10">
        <v>633</v>
      </c>
      <c r="H511" s="11" t="s">
        <v>126</v>
      </c>
      <c r="I511" s="66">
        <f>31605-4622</f>
        <v>26983</v>
      </c>
      <c r="J511" s="66">
        <v>-2191</v>
      </c>
      <c r="K511" s="66">
        <f t="shared" si="101"/>
        <v>24792</v>
      </c>
      <c r="L511" s="66"/>
      <c r="M511" s="66"/>
      <c r="N511" s="66"/>
      <c r="O511" s="66">
        <f t="shared" si="102"/>
        <v>0</v>
      </c>
      <c r="P511" s="67"/>
      <c r="Q511" s="68">
        <f t="shared" si="97"/>
        <v>26983</v>
      </c>
      <c r="R511" s="68">
        <f t="shared" si="98"/>
        <v>-2191</v>
      </c>
      <c r="S511" s="68">
        <f t="shared" si="99"/>
        <v>24792</v>
      </c>
    </row>
    <row r="512" spans="2:19" x14ac:dyDescent="0.2">
      <c r="B512" s="48">
        <f t="shared" si="100"/>
        <v>61</v>
      </c>
      <c r="C512" s="11"/>
      <c r="D512" s="11"/>
      <c r="E512" s="11"/>
      <c r="F512" s="65"/>
      <c r="G512" s="10">
        <v>635</v>
      </c>
      <c r="H512" s="11" t="s">
        <v>134</v>
      </c>
      <c r="I512" s="66">
        <f>9000+6000</f>
        <v>15000</v>
      </c>
      <c r="J512" s="66"/>
      <c r="K512" s="66">
        <f t="shared" si="101"/>
        <v>15000</v>
      </c>
      <c r="L512" s="66"/>
      <c r="M512" s="66"/>
      <c r="N512" s="66"/>
      <c r="O512" s="66">
        <f t="shared" si="102"/>
        <v>0</v>
      </c>
      <c r="P512" s="67"/>
      <c r="Q512" s="68">
        <f t="shared" si="97"/>
        <v>15000</v>
      </c>
      <c r="R512" s="68">
        <f t="shared" si="98"/>
        <v>0</v>
      </c>
      <c r="S512" s="68">
        <f t="shared" si="99"/>
        <v>15000</v>
      </c>
    </row>
    <row r="513" spans="2:19" x14ac:dyDescent="0.2">
      <c r="B513" s="48">
        <f t="shared" si="100"/>
        <v>62</v>
      </c>
      <c r="C513" s="11"/>
      <c r="D513" s="11"/>
      <c r="E513" s="11"/>
      <c r="F513" s="65"/>
      <c r="G513" s="10">
        <v>637</v>
      </c>
      <c r="H513" s="11" t="s">
        <v>123</v>
      </c>
      <c r="I513" s="66">
        <v>5550</v>
      </c>
      <c r="J513" s="66"/>
      <c r="K513" s="66">
        <f t="shared" si="101"/>
        <v>5550</v>
      </c>
      <c r="L513" s="66"/>
      <c r="M513" s="66"/>
      <c r="N513" s="66"/>
      <c r="O513" s="66">
        <f t="shared" si="102"/>
        <v>0</v>
      </c>
      <c r="P513" s="67"/>
      <c r="Q513" s="68">
        <f t="shared" si="97"/>
        <v>5550</v>
      </c>
      <c r="R513" s="68">
        <f t="shared" si="98"/>
        <v>0</v>
      </c>
      <c r="S513" s="68">
        <f t="shared" si="99"/>
        <v>5550</v>
      </c>
    </row>
    <row r="514" spans="2:19" x14ac:dyDescent="0.2">
      <c r="B514" s="48">
        <f t="shared" si="100"/>
        <v>63</v>
      </c>
      <c r="C514" s="9"/>
      <c r="D514" s="9"/>
      <c r="E514" s="9"/>
      <c r="F514" s="61" t="s">
        <v>188</v>
      </c>
      <c r="G514" s="8">
        <v>640</v>
      </c>
      <c r="H514" s="9" t="s">
        <v>130</v>
      </c>
      <c r="I514" s="62">
        <v>450</v>
      </c>
      <c r="J514" s="62"/>
      <c r="K514" s="62">
        <f t="shared" si="101"/>
        <v>450</v>
      </c>
      <c r="L514" s="62"/>
      <c r="M514" s="62"/>
      <c r="N514" s="62"/>
      <c r="O514" s="62">
        <f t="shared" si="102"/>
        <v>0</v>
      </c>
      <c r="P514" s="63"/>
      <c r="Q514" s="64">
        <f t="shared" si="97"/>
        <v>450</v>
      </c>
      <c r="R514" s="64">
        <f t="shared" si="98"/>
        <v>0</v>
      </c>
      <c r="S514" s="64">
        <f t="shared" si="99"/>
        <v>450</v>
      </c>
    </row>
    <row r="515" spans="2:19" x14ac:dyDescent="0.2">
      <c r="B515" s="48">
        <f t="shared" si="100"/>
        <v>64</v>
      </c>
      <c r="C515" s="9"/>
      <c r="D515" s="9"/>
      <c r="E515" s="9"/>
      <c r="F515" s="61" t="s">
        <v>188</v>
      </c>
      <c r="G515" s="8">
        <v>710</v>
      </c>
      <c r="H515" s="9" t="s">
        <v>176</v>
      </c>
      <c r="I515" s="62"/>
      <c r="J515" s="62"/>
      <c r="K515" s="62">
        <f t="shared" ref="K515:K517" si="107">I515+J515</f>
        <v>0</v>
      </c>
      <c r="L515" s="62"/>
      <c r="M515" s="62">
        <f>M516</f>
        <v>0</v>
      </c>
      <c r="N515" s="62">
        <f>N516</f>
        <v>18000</v>
      </c>
      <c r="O515" s="62">
        <f t="shared" ref="O515:O517" si="108">M515+N515</f>
        <v>18000</v>
      </c>
      <c r="P515" s="63"/>
      <c r="Q515" s="64">
        <f t="shared" si="97"/>
        <v>0</v>
      </c>
      <c r="R515" s="64">
        <f t="shared" si="98"/>
        <v>18000</v>
      </c>
      <c r="S515" s="64">
        <f t="shared" si="99"/>
        <v>18000</v>
      </c>
    </row>
    <row r="516" spans="2:19" x14ac:dyDescent="0.2">
      <c r="B516" s="48">
        <f t="shared" si="100"/>
        <v>65</v>
      </c>
      <c r="C516" s="11"/>
      <c r="D516" s="11"/>
      <c r="E516" s="11"/>
      <c r="F516" s="65"/>
      <c r="G516" s="10">
        <v>717</v>
      </c>
      <c r="H516" s="11" t="s">
        <v>183</v>
      </c>
      <c r="I516" s="66"/>
      <c r="J516" s="66"/>
      <c r="K516" s="66">
        <f t="shared" si="107"/>
        <v>0</v>
      </c>
      <c r="L516" s="66"/>
      <c r="M516" s="66">
        <f>M517</f>
        <v>0</v>
      </c>
      <c r="N516" s="66">
        <f>N517</f>
        <v>18000</v>
      </c>
      <c r="O516" s="66">
        <f t="shared" si="108"/>
        <v>18000</v>
      </c>
      <c r="P516" s="67"/>
      <c r="Q516" s="68">
        <f t="shared" si="97"/>
        <v>0</v>
      </c>
      <c r="R516" s="68">
        <f t="shared" si="98"/>
        <v>18000</v>
      </c>
      <c r="S516" s="68">
        <f t="shared" si="99"/>
        <v>18000</v>
      </c>
    </row>
    <row r="517" spans="2:19" x14ac:dyDescent="0.2">
      <c r="B517" s="48">
        <f t="shared" si="100"/>
        <v>66</v>
      </c>
      <c r="C517" s="13"/>
      <c r="D517" s="13"/>
      <c r="E517" s="13"/>
      <c r="F517" s="188"/>
      <c r="G517" s="82"/>
      <c r="H517" s="13" t="s">
        <v>638</v>
      </c>
      <c r="I517" s="83"/>
      <c r="J517" s="83"/>
      <c r="K517" s="83">
        <f t="shared" si="107"/>
        <v>0</v>
      </c>
      <c r="L517" s="83"/>
      <c r="M517" s="83">
        <v>0</v>
      </c>
      <c r="N517" s="83">
        <v>18000</v>
      </c>
      <c r="O517" s="83">
        <f t="shared" si="108"/>
        <v>18000</v>
      </c>
      <c r="P517" s="84"/>
      <c r="Q517" s="85">
        <f t="shared" ref="Q517:Q581" si="109">I517+M517</f>
        <v>0</v>
      </c>
      <c r="R517" s="85">
        <f t="shared" ref="R517:R581" si="110">J517+N517</f>
        <v>18000</v>
      </c>
      <c r="S517" s="85">
        <f t="shared" ref="S517:S581" si="111">K517+O517</f>
        <v>18000</v>
      </c>
    </row>
    <row r="518" spans="2:19" x14ac:dyDescent="0.2">
      <c r="B518" s="48">
        <f t="shared" si="100"/>
        <v>67</v>
      </c>
      <c r="C518" s="184"/>
      <c r="D518" s="184"/>
      <c r="E518" s="184" t="s">
        <v>95</v>
      </c>
      <c r="F518" s="185"/>
      <c r="G518" s="185"/>
      <c r="H518" s="184" t="s">
        <v>96</v>
      </c>
      <c r="I518" s="186">
        <f>I519+I520+I521+I526</f>
        <v>390072</v>
      </c>
      <c r="J518" s="186">
        <f>J519+J520+J521+J526</f>
        <v>-1768</v>
      </c>
      <c r="K518" s="186">
        <f t="shared" si="101"/>
        <v>388304</v>
      </c>
      <c r="L518" s="62"/>
      <c r="M518" s="186"/>
      <c r="N518" s="186"/>
      <c r="O518" s="186">
        <f t="shared" si="102"/>
        <v>0</v>
      </c>
      <c r="P518" s="63"/>
      <c r="Q518" s="187">
        <f t="shared" si="109"/>
        <v>390072</v>
      </c>
      <c r="R518" s="187">
        <f t="shared" si="110"/>
        <v>-1768</v>
      </c>
      <c r="S518" s="187">
        <f t="shared" si="111"/>
        <v>388304</v>
      </c>
    </row>
    <row r="519" spans="2:19" x14ac:dyDescent="0.2">
      <c r="B519" s="48">
        <f t="shared" si="100"/>
        <v>68</v>
      </c>
      <c r="C519" s="9"/>
      <c r="D519" s="9"/>
      <c r="E519" s="9"/>
      <c r="F519" s="61" t="s">
        <v>188</v>
      </c>
      <c r="G519" s="8">
        <v>610</v>
      </c>
      <c r="H519" s="9" t="s">
        <v>132</v>
      </c>
      <c r="I519" s="62">
        <v>200718</v>
      </c>
      <c r="J519" s="62">
        <v>879</v>
      </c>
      <c r="K519" s="62">
        <f t="shared" si="101"/>
        <v>201597</v>
      </c>
      <c r="L519" s="62"/>
      <c r="M519" s="62"/>
      <c r="N519" s="62"/>
      <c r="O519" s="62">
        <f t="shared" si="102"/>
        <v>0</v>
      </c>
      <c r="P519" s="63"/>
      <c r="Q519" s="64">
        <f t="shared" si="109"/>
        <v>200718</v>
      </c>
      <c r="R519" s="64">
        <f t="shared" si="110"/>
        <v>879</v>
      </c>
      <c r="S519" s="64">
        <f t="shared" si="111"/>
        <v>201597</v>
      </c>
    </row>
    <row r="520" spans="2:19" x14ac:dyDescent="0.2">
      <c r="B520" s="48">
        <f t="shared" si="100"/>
        <v>69</v>
      </c>
      <c r="C520" s="9"/>
      <c r="D520" s="9"/>
      <c r="E520" s="9"/>
      <c r="F520" s="61" t="s">
        <v>188</v>
      </c>
      <c r="G520" s="8">
        <v>620</v>
      </c>
      <c r="H520" s="9" t="s">
        <v>125</v>
      </c>
      <c r="I520" s="62">
        <v>75779</v>
      </c>
      <c r="J520" s="62">
        <v>347</v>
      </c>
      <c r="K520" s="62">
        <f t="shared" si="101"/>
        <v>76126</v>
      </c>
      <c r="L520" s="62"/>
      <c r="M520" s="62"/>
      <c r="N520" s="62"/>
      <c r="O520" s="62">
        <f t="shared" si="102"/>
        <v>0</v>
      </c>
      <c r="P520" s="63"/>
      <c r="Q520" s="64">
        <f t="shared" si="109"/>
        <v>75779</v>
      </c>
      <c r="R520" s="64">
        <f t="shared" si="110"/>
        <v>347</v>
      </c>
      <c r="S520" s="64">
        <f t="shared" si="111"/>
        <v>76126</v>
      </c>
    </row>
    <row r="521" spans="2:19" x14ac:dyDescent="0.2">
      <c r="B521" s="48">
        <f t="shared" si="100"/>
        <v>70</v>
      </c>
      <c r="C521" s="9"/>
      <c r="D521" s="9"/>
      <c r="E521" s="9"/>
      <c r="F521" s="61" t="s">
        <v>188</v>
      </c>
      <c r="G521" s="8">
        <v>630</v>
      </c>
      <c r="H521" s="9" t="s">
        <v>122</v>
      </c>
      <c r="I521" s="62">
        <f>SUM(I522:I525)</f>
        <v>107997</v>
      </c>
      <c r="J521" s="62">
        <f>SUM(J522:J525)</f>
        <v>-2994</v>
      </c>
      <c r="K521" s="62">
        <f t="shared" si="101"/>
        <v>105003</v>
      </c>
      <c r="L521" s="62"/>
      <c r="M521" s="62"/>
      <c r="N521" s="62"/>
      <c r="O521" s="62">
        <f t="shared" si="102"/>
        <v>0</v>
      </c>
      <c r="P521" s="63"/>
      <c r="Q521" s="64">
        <f t="shared" si="109"/>
        <v>107997</v>
      </c>
      <c r="R521" s="64">
        <f t="shared" si="110"/>
        <v>-2994</v>
      </c>
      <c r="S521" s="64">
        <f t="shared" si="111"/>
        <v>105003</v>
      </c>
    </row>
    <row r="522" spans="2:19" x14ac:dyDescent="0.2">
      <c r="B522" s="48">
        <f t="shared" si="100"/>
        <v>71</v>
      </c>
      <c r="C522" s="11"/>
      <c r="D522" s="11"/>
      <c r="E522" s="11"/>
      <c r="F522" s="65"/>
      <c r="G522" s="10">
        <v>632</v>
      </c>
      <c r="H522" s="11" t="s">
        <v>135</v>
      </c>
      <c r="I522" s="66">
        <v>68555</v>
      </c>
      <c r="J522" s="66"/>
      <c r="K522" s="66">
        <f t="shared" si="101"/>
        <v>68555</v>
      </c>
      <c r="L522" s="66"/>
      <c r="M522" s="66"/>
      <c r="N522" s="66"/>
      <c r="O522" s="66">
        <f t="shared" si="102"/>
        <v>0</v>
      </c>
      <c r="P522" s="67"/>
      <c r="Q522" s="68">
        <f t="shared" si="109"/>
        <v>68555</v>
      </c>
      <c r="R522" s="68">
        <f t="shared" si="110"/>
        <v>0</v>
      </c>
      <c r="S522" s="68">
        <f t="shared" si="111"/>
        <v>68555</v>
      </c>
    </row>
    <row r="523" spans="2:19" x14ac:dyDescent="0.2">
      <c r="B523" s="48">
        <f t="shared" ref="B523:B587" si="112">B522+1</f>
        <v>72</v>
      </c>
      <c r="C523" s="11"/>
      <c r="D523" s="11"/>
      <c r="E523" s="11"/>
      <c r="F523" s="65"/>
      <c r="G523" s="10">
        <v>633</v>
      </c>
      <c r="H523" s="11" t="s">
        <v>126</v>
      </c>
      <c r="I523" s="66">
        <f>32666-3684</f>
        <v>28982</v>
      </c>
      <c r="J523" s="66">
        <v>-2994</v>
      </c>
      <c r="K523" s="66">
        <f t="shared" ref="K523:K587" si="113">I523+J523</f>
        <v>25988</v>
      </c>
      <c r="L523" s="66"/>
      <c r="M523" s="66"/>
      <c r="N523" s="66"/>
      <c r="O523" s="66">
        <f t="shared" ref="O523:O587" si="114">M523+N523</f>
        <v>0</v>
      </c>
      <c r="P523" s="67"/>
      <c r="Q523" s="68">
        <f t="shared" si="109"/>
        <v>28982</v>
      </c>
      <c r="R523" s="68">
        <f t="shared" si="110"/>
        <v>-2994</v>
      </c>
      <c r="S523" s="68">
        <f t="shared" si="111"/>
        <v>25988</v>
      </c>
    </row>
    <row r="524" spans="2:19" x14ac:dyDescent="0.2">
      <c r="B524" s="48">
        <f t="shared" si="112"/>
        <v>73</v>
      </c>
      <c r="C524" s="11"/>
      <c r="D524" s="11"/>
      <c r="E524" s="11"/>
      <c r="F524" s="65"/>
      <c r="G524" s="10">
        <v>635</v>
      </c>
      <c r="H524" s="11" t="s">
        <v>134</v>
      </c>
      <c r="I524" s="66">
        <f>5000-2000</f>
        <v>3000</v>
      </c>
      <c r="J524" s="66"/>
      <c r="K524" s="66">
        <f t="shared" si="113"/>
        <v>3000</v>
      </c>
      <c r="L524" s="66"/>
      <c r="M524" s="66"/>
      <c r="N524" s="66"/>
      <c r="O524" s="66">
        <f t="shared" si="114"/>
        <v>0</v>
      </c>
      <c r="P524" s="67"/>
      <c r="Q524" s="68">
        <f t="shared" si="109"/>
        <v>3000</v>
      </c>
      <c r="R524" s="68">
        <f t="shared" si="110"/>
        <v>0</v>
      </c>
      <c r="S524" s="68">
        <f t="shared" si="111"/>
        <v>3000</v>
      </c>
    </row>
    <row r="525" spans="2:19" x14ac:dyDescent="0.2">
      <c r="B525" s="48">
        <f t="shared" si="112"/>
        <v>74</v>
      </c>
      <c r="C525" s="11"/>
      <c r="D525" s="11"/>
      <c r="E525" s="11"/>
      <c r="F525" s="65"/>
      <c r="G525" s="10">
        <v>637</v>
      </c>
      <c r="H525" s="11" t="s">
        <v>123</v>
      </c>
      <c r="I525" s="66">
        <v>7460</v>
      </c>
      <c r="J525" s="66"/>
      <c r="K525" s="66">
        <f t="shared" si="113"/>
        <v>7460</v>
      </c>
      <c r="L525" s="66"/>
      <c r="M525" s="66"/>
      <c r="N525" s="66"/>
      <c r="O525" s="66">
        <f t="shared" si="114"/>
        <v>0</v>
      </c>
      <c r="P525" s="67"/>
      <c r="Q525" s="68">
        <f t="shared" si="109"/>
        <v>7460</v>
      </c>
      <c r="R525" s="68">
        <f t="shared" si="110"/>
        <v>0</v>
      </c>
      <c r="S525" s="68">
        <f t="shared" si="111"/>
        <v>7460</v>
      </c>
    </row>
    <row r="526" spans="2:19" x14ac:dyDescent="0.2">
      <c r="B526" s="48">
        <f t="shared" si="112"/>
        <v>75</v>
      </c>
      <c r="C526" s="9"/>
      <c r="D526" s="9"/>
      <c r="E526" s="9"/>
      <c r="F526" s="61" t="s">
        <v>188</v>
      </c>
      <c r="G526" s="8">
        <v>640</v>
      </c>
      <c r="H526" s="9" t="s">
        <v>130</v>
      </c>
      <c r="I526" s="62">
        <v>5578</v>
      </c>
      <c r="J526" s="62"/>
      <c r="K526" s="62">
        <f t="shared" si="113"/>
        <v>5578</v>
      </c>
      <c r="L526" s="62"/>
      <c r="M526" s="62"/>
      <c r="N526" s="62"/>
      <c r="O526" s="62">
        <f t="shared" si="114"/>
        <v>0</v>
      </c>
      <c r="P526" s="63"/>
      <c r="Q526" s="64">
        <f t="shared" si="109"/>
        <v>5578</v>
      </c>
      <c r="R526" s="64">
        <f t="shared" si="110"/>
        <v>0</v>
      </c>
      <c r="S526" s="64">
        <f t="shared" si="111"/>
        <v>5578</v>
      </c>
    </row>
    <row r="527" spans="2:19" x14ac:dyDescent="0.2">
      <c r="B527" s="48">
        <f t="shared" si="112"/>
        <v>76</v>
      </c>
      <c r="C527" s="184"/>
      <c r="D527" s="184"/>
      <c r="E527" s="184" t="s">
        <v>98</v>
      </c>
      <c r="F527" s="185"/>
      <c r="G527" s="185"/>
      <c r="H527" s="184" t="s">
        <v>99</v>
      </c>
      <c r="I527" s="186">
        <f>I528+I529+I530+I536</f>
        <v>370614</v>
      </c>
      <c r="J527" s="186">
        <f>J528+J529+J530+J536</f>
        <v>2348</v>
      </c>
      <c r="K527" s="186">
        <f t="shared" si="113"/>
        <v>372962</v>
      </c>
      <c r="L527" s="62"/>
      <c r="M527" s="186"/>
      <c r="N527" s="186"/>
      <c r="O527" s="186">
        <f t="shared" si="114"/>
        <v>0</v>
      </c>
      <c r="P527" s="63"/>
      <c r="Q527" s="187">
        <f t="shared" si="109"/>
        <v>370614</v>
      </c>
      <c r="R527" s="187">
        <f t="shared" si="110"/>
        <v>2348</v>
      </c>
      <c r="S527" s="187">
        <f t="shared" si="111"/>
        <v>372962</v>
      </c>
    </row>
    <row r="528" spans="2:19" x14ac:dyDescent="0.2">
      <c r="B528" s="48">
        <f t="shared" si="112"/>
        <v>77</v>
      </c>
      <c r="C528" s="9"/>
      <c r="D528" s="9"/>
      <c r="E528" s="9"/>
      <c r="F528" s="61" t="s">
        <v>188</v>
      </c>
      <c r="G528" s="8">
        <v>610</v>
      </c>
      <c r="H528" s="9" t="s">
        <v>132</v>
      </c>
      <c r="I528" s="62">
        <v>193984</v>
      </c>
      <c r="J528" s="62">
        <v>438</v>
      </c>
      <c r="K528" s="62">
        <f t="shared" si="113"/>
        <v>194422</v>
      </c>
      <c r="L528" s="62"/>
      <c r="M528" s="62"/>
      <c r="N528" s="62"/>
      <c r="O528" s="62">
        <f t="shared" si="114"/>
        <v>0</v>
      </c>
      <c r="P528" s="63"/>
      <c r="Q528" s="64">
        <f t="shared" si="109"/>
        <v>193984</v>
      </c>
      <c r="R528" s="64">
        <f t="shared" si="110"/>
        <v>438</v>
      </c>
      <c r="S528" s="64">
        <f t="shared" si="111"/>
        <v>194422</v>
      </c>
    </row>
    <row r="529" spans="2:19" x14ac:dyDescent="0.2">
      <c r="B529" s="48">
        <f t="shared" si="112"/>
        <v>78</v>
      </c>
      <c r="C529" s="9"/>
      <c r="D529" s="9"/>
      <c r="E529" s="9"/>
      <c r="F529" s="61" t="s">
        <v>188</v>
      </c>
      <c r="G529" s="8">
        <v>620</v>
      </c>
      <c r="H529" s="9" t="s">
        <v>125</v>
      </c>
      <c r="I529" s="62">
        <v>72402</v>
      </c>
      <c r="J529" s="62">
        <v>182</v>
      </c>
      <c r="K529" s="62">
        <f t="shared" si="113"/>
        <v>72584</v>
      </c>
      <c r="L529" s="62"/>
      <c r="M529" s="62"/>
      <c r="N529" s="62"/>
      <c r="O529" s="62">
        <f t="shared" si="114"/>
        <v>0</v>
      </c>
      <c r="P529" s="63"/>
      <c r="Q529" s="64">
        <f t="shared" si="109"/>
        <v>72402</v>
      </c>
      <c r="R529" s="64">
        <f t="shared" si="110"/>
        <v>182</v>
      </c>
      <c r="S529" s="64">
        <f t="shared" si="111"/>
        <v>72584</v>
      </c>
    </row>
    <row r="530" spans="2:19" x14ac:dyDescent="0.2">
      <c r="B530" s="48">
        <f t="shared" si="112"/>
        <v>79</v>
      </c>
      <c r="C530" s="9"/>
      <c r="D530" s="9"/>
      <c r="E530" s="9"/>
      <c r="F530" s="61" t="s">
        <v>188</v>
      </c>
      <c r="G530" s="8">
        <v>630</v>
      </c>
      <c r="H530" s="9" t="s">
        <v>122</v>
      </c>
      <c r="I530" s="62">
        <f>SUM(I531:I535)</f>
        <v>101053</v>
      </c>
      <c r="J530" s="62">
        <f>SUM(J531:J535)</f>
        <v>1728</v>
      </c>
      <c r="K530" s="62">
        <f t="shared" si="113"/>
        <v>102781</v>
      </c>
      <c r="L530" s="62"/>
      <c r="M530" s="62"/>
      <c r="N530" s="62"/>
      <c r="O530" s="62">
        <f t="shared" si="114"/>
        <v>0</v>
      </c>
      <c r="P530" s="63"/>
      <c r="Q530" s="64">
        <f t="shared" si="109"/>
        <v>101053</v>
      </c>
      <c r="R530" s="64">
        <f t="shared" si="110"/>
        <v>1728</v>
      </c>
      <c r="S530" s="64">
        <f t="shared" si="111"/>
        <v>102781</v>
      </c>
    </row>
    <row r="531" spans="2:19" x14ac:dyDescent="0.2">
      <c r="B531" s="48">
        <f t="shared" si="112"/>
        <v>80</v>
      </c>
      <c r="C531" s="11"/>
      <c r="D531" s="11"/>
      <c r="E531" s="11"/>
      <c r="F531" s="65"/>
      <c r="G531" s="10">
        <v>632</v>
      </c>
      <c r="H531" s="11" t="s">
        <v>135</v>
      </c>
      <c r="I531" s="66">
        <v>60240</v>
      </c>
      <c r="J531" s="66"/>
      <c r="K531" s="66">
        <f t="shared" si="113"/>
        <v>60240</v>
      </c>
      <c r="L531" s="66"/>
      <c r="M531" s="66"/>
      <c r="N531" s="66"/>
      <c r="O531" s="66">
        <f t="shared" si="114"/>
        <v>0</v>
      </c>
      <c r="P531" s="67"/>
      <c r="Q531" s="68">
        <f t="shared" si="109"/>
        <v>60240</v>
      </c>
      <c r="R531" s="68">
        <f t="shared" si="110"/>
        <v>0</v>
      </c>
      <c r="S531" s="68">
        <f t="shared" si="111"/>
        <v>60240</v>
      </c>
    </row>
    <row r="532" spans="2:19" x14ac:dyDescent="0.2">
      <c r="B532" s="48">
        <f t="shared" si="112"/>
        <v>81</v>
      </c>
      <c r="C532" s="11"/>
      <c r="D532" s="11"/>
      <c r="E532" s="11"/>
      <c r="F532" s="65"/>
      <c r="G532" s="10">
        <v>633</v>
      </c>
      <c r="H532" s="11" t="s">
        <v>126</v>
      </c>
      <c r="I532" s="66">
        <f>29522-5319-70</f>
        <v>24133</v>
      </c>
      <c r="J532" s="66">
        <v>-3272</v>
      </c>
      <c r="K532" s="66">
        <f t="shared" si="113"/>
        <v>20861</v>
      </c>
      <c r="L532" s="66"/>
      <c r="M532" s="66"/>
      <c r="N532" s="66"/>
      <c r="O532" s="66">
        <f t="shared" si="114"/>
        <v>0</v>
      </c>
      <c r="P532" s="67"/>
      <c r="Q532" s="68">
        <f t="shared" si="109"/>
        <v>24133</v>
      </c>
      <c r="R532" s="68">
        <f t="shared" si="110"/>
        <v>-3272</v>
      </c>
      <c r="S532" s="68">
        <f t="shared" si="111"/>
        <v>20861</v>
      </c>
    </row>
    <row r="533" spans="2:19" x14ac:dyDescent="0.2">
      <c r="B533" s="48">
        <f t="shared" si="112"/>
        <v>82</v>
      </c>
      <c r="C533" s="11"/>
      <c r="D533" s="11"/>
      <c r="E533" s="11"/>
      <c r="F533" s="65"/>
      <c r="G533" s="10">
        <v>634</v>
      </c>
      <c r="H533" s="11" t="s">
        <v>133</v>
      </c>
      <c r="I533" s="66">
        <v>70</v>
      </c>
      <c r="J533" s="66"/>
      <c r="K533" s="66">
        <f t="shared" si="113"/>
        <v>70</v>
      </c>
      <c r="L533" s="66"/>
      <c r="M533" s="66"/>
      <c r="N533" s="66"/>
      <c r="O533" s="66"/>
      <c r="P533" s="67"/>
      <c r="Q533" s="68">
        <f t="shared" ref="Q533" si="115">I533+M533</f>
        <v>70</v>
      </c>
      <c r="R533" s="68">
        <f t="shared" ref="R533" si="116">J533+N533</f>
        <v>0</v>
      </c>
      <c r="S533" s="68">
        <f t="shared" ref="S533" si="117">K533+O533</f>
        <v>70</v>
      </c>
    </row>
    <row r="534" spans="2:19" x14ac:dyDescent="0.2">
      <c r="B534" s="48">
        <f t="shared" si="112"/>
        <v>83</v>
      </c>
      <c r="C534" s="11"/>
      <c r="D534" s="11"/>
      <c r="E534" s="11"/>
      <c r="F534" s="65"/>
      <c r="G534" s="10">
        <v>635</v>
      </c>
      <c r="H534" s="11" t="s">
        <v>134</v>
      </c>
      <c r="I534" s="66">
        <v>9500</v>
      </c>
      <c r="J534" s="66">
        <v>5000</v>
      </c>
      <c r="K534" s="66">
        <f t="shared" si="113"/>
        <v>14500</v>
      </c>
      <c r="L534" s="66"/>
      <c r="M534" s="66"/>
      <c r="N534" s="66"/>
      <c r="O534" s="66">
        <f t="shared" si="114"/>
        <v>0</v>
      </c>
      <c r="P534" s="67"/>
      <c r="Q534" s="68">
        <f t="shared" si="109"/>
        <v>9500</v>
      </c>
      <c r="R534" s="68">
        <f t="shared" si="110"/>
        <v>5000</v>
      </c>
      <c r="S534" s="68">
        <f t="shared" si="111"/>
        <v>14500</v>
      </c>
    </row>
    <row r="535" spans="2:19" x14ac:dyDescent="0.2">
      <c r="B535" s="48">
        <f t="shared" si="112"/>
        <v>84</v>
      </c>
      <c r="C535" s="11"/>
      <c r="D535" s="11"/>
      <c r="E535" s="11"/>
      <c r="F535" s="65"/>
      <c r="G535" s="10">
        <v>637</v>
      </c>
      <c r="H535" s="11" t="s">
        <v>123</v>
      </c>
      <c r="I535" s="66">
        <v>7110</v>
      </c>
      <c r="J535" s="66"/>
      <c r="K535" s="66">
        <f t="shared" si="113"/>
        <v>7110</v>
      </c>
      <c r="L535" s="66"/>
      <c r="M535" s="66"/>
      <c r="N535" s="66"/>
      <c r="O535" s="66">
        <f t="shared" si="114"/>
        <v>0</v>
      </c>
      <c r="P535" s="67"/>
      <c r="Q535" s="68">
        <f t="shared" si="109"/>
        <v>7110</v>
      </c>
      <c r="R535" s="68">
        <f t="shared" si="110"/>
        <v>0</v>
      </c>
      <c r="S535" s="68">
        <f t="shared" si="111"/>
        <v>7110</v>
      </c>
    </row>
    <row r="536" spans="2:19" x14ac:dyDescent="0.2">
      <c r="B536" s="48">
        <f t="shared" si="112"/>
        <v>85</v>
      </c>
      <c r="C536" s="9"/>
      <c r="D536" s="9"/>
      <c r="E536" s="9"/>
      <c r="F536" s="61" t="s">
        <v>188</v>
      </c>
      <c r="G536" s="8">
        <v>640</v>
      </c>
      <c r="H536" s="9" t="s">
        <v>130</v>
      </c>
      <c r="I536" s="62">
        <v>3175</v>
      </c>
      <c r="J536" s="62"/>
      <c r="K536" s="62">
        <f t="shared" si="113"/>
        <v>3175</v>
      </c>
      <c r="L536" s="62"/>
      <c r="M536" s="62"/>
      <c r="N536" s="62"/>
      <c r="O536" s="62">
        <f t="shared" si="114"/>
        <v>0</v>
      </c>
      <c r="P536" s="63"/>
      <c r="Q536" s="64">
        <f t="shared" si="109"/>
        <v>3175</v>
      </c>
      <c r="R536" s="64">
        <f t="shared" si="110"/>
        <v>0</v>
      </c>
      <c r="S536" s="64">
        <f t="shared" si="111"/>
        <v>3175</v>
      </c>
    </row>
    <row r="537" spans="2:19" x14ac:dyDescent="0.2">
      <c r="B537" s="48">
        <f t="shared" si="112"/>
        <v>86</v>
      </c>
      <c r="C537" s="184"/>
      <c r="D537" s="184"/>
      <c r="E537" s="184" t="s">
        <v>85</v>
      </c>
      <c r="F537" s="185"/>
      <c r="G537" s="185"/>
      <c r="H537" s="184" t="s">
        <v>86</v>
      </c>
      <c r="I537" s="186">
        <f>I538+I539+I540+I545</f>
        <v>547317</v>
      </c>
      <c r="J537" s="186">
        <f>J538+J539+J540+J545</f>
        <v>-1768</v>
      </c>
      <c r="K537" s="186">
        <f t="shared" si="113"/>
        <v>545549</v>
      </c>
      <c r="L537" s="62"/>
      <c r="M537" s="186">
        <f>M546</f>
        <v>95000</v>
      </c>
      <c r="N537" s="186">
        <f>N546</f>
        <v>0</v>
      </c>
      <c r="O537" s="186">
        <f t="shared" si="114"/>
        <v>95000</v>
      </c>
      <c r="P537" s="63"/>
      <c r="Q537" s="187">
        <f t="shared" si="109"/>
        <v>642317</v>
      </c>
      <c r="R537" s="187">
        <f t="shared" si="110"/>
        <v>-1768</v>
      </c>
      <c r="S537" s="187">
        <f t="shared" si="111"/>
        <v>640549</v>
      </c>
    </row>
    <row r="538" spans="2:19" x14ac:dyDescent="0.2">
      <c r="B538" s="48">
        <f t="shared" si="112"/>
        <v>87</v>
      </c>
      <c r="C538" s="9"/>
      <c r="D538" s="9"/>
      <c r="E538" s="9"/>
      <c r="F538" s="61" t="s">
        <v>188</v>
      </c>
      <c r="G538" s="8">
        <v>610</v>
      </c>
      <c r="H538" s="9" t="s">
        <v>132</v>
      </c>
      <c r="I538" s="62">
        <v>299332</v>
      </c>
      <c r="J538" s="62">
        <v>1086</v>
      </c>
      <c r="K538" s="62">
        <f t="shared" si="113"/>
        <v>300418</v>
      </c>
      <c r="L538" s="62"/>
      <c r="M538" s="62"/>
      <c r="N538" s="62"/>
      <c r="O538" s="62">
        <f t="shared" si="114"/>
        <v>0</v>
      </c>
      <c r="P538" s="63"/>
      <c r="Q538" s="64">
        <f t="shared" si="109"/>
        <v>299332</v>
      </c>
      <c r="R538" s="64">
        <f t="shared" si="110"/>
        <v>1086</v>
      </c>
      <c r="S538" s="64">
        <f t="shared" si="111"/>
        <v>300418</v>
      </c>
    </row>
    <row r="539" spans="2:19" x14ac:dyDescent="0.2">
      <c r="B539" s="48">
        <f t="shared" si="112"/>
        <v>88</v>
      </c>
      <c r="C539" s="9"/>
      <c r="D539" s="9"/>
      <c r="E539" s="9"/>
      <c r="F539" s="61" t="s">
        <v>188</v>
      </c>
      <c r="G539" s="8">
        <v>620</v>
      </c>
      <c r="H539" s="9" t="s">
        <v>125</v>
      </c>
      <c r="I539" s="62">
        <v>112829</v>
      </c>
      <c r="J539" s="62">
        <v>426</v>
      </c>
      <c r="K539" s="62">
        <f t="shared" si="113"/>
        <v>113255</v>
      </c>
      <c r="L539" s="62"/>
      <c r="M539" s="62"/>
      <c r="N539" s="62"/>
      <c r="O539" s="62">
        <f t="shared" si="114"/>
        <v>0</v>
      </c>
      <c r="P539" s="63"/>
      <c r="Q539" s="64">
        <f t="shared" si="109"/>
        <v>112829</v>
      </c>
      <c r="R539" s="64">
        <f t="shared" si="110"/>
        <v>426</v>
      </c>
      <c r="S539" s="64">
        <f t="shared" si="111"/>
        <v>113255</v>
      </c>
    </row>
    <row r="540" spans="2:19" x14ac:dyDescent="0.2">
      <c r="B540" s="48">
        <f t="shared" si="112"/>
        <v>89</v>
      </c>
      <c r="C540" s="9"/>
      <c r="D540" s="9"/>
      <c r="E540" s="9"/>
      <c r="F540" s="61" t="s">
        <v>188</v>
      </c>
      <c r="G540" s="8">
        <v>630</v>
      </c>
      <c r="H540" s="9" t="s">
        <v>122</v>
      </c>
      <c r="I540" s="62">
        <f>SUM(I541:I544)</f>
        <v>128647</v>
      </c>
      <c r="J540" s="62">
        <f>SUM(J541:J544)</f>
        <v>-3280</v>
      </c>
      <c r="K540" s="62">
        <f t="shared" si="113"/>
        <v>125367</v>
      </c>
      <c r="L540" s="62"/>
      <c r="M540" s="62"/>
      <c r="N540" s="62"/>
      <c r="O540" s="62">
        <f t="shared" si="114"/>
        <v>0</v>
      </c>
      <c r="P540" s="63"/>
      <c r="Q540" s="64">
        <f t="shared" si="109"/>
        <v>128647</v>
      </c>
      <c r="R540" s="64">
        <f t="shared" si="110"/>
        <v>-3280</v>
      </c>
      <c r="S540" s="64">
        <f t="shared" si="111"/>
        <v>125367</v>
      </c>
    </row>
    <row r="541" spans="2:19" x14ac:dyDescent="0.2">
      <c r="B541" s="48">
        <f t="shared" si="112"/>
        <v>90</v>
      </c>
      <c r="C541" s="11"/>
      <c r="D541" s="11"/>
      <c r="E541" s="11"/>
      <c r="F541" s="65"/>
      <c r="G541" s="10">
        <v>632</v>
      </c>
      <c r="H541" s="11" t="s">
        <v>135</v>
      </c>
      <c r="I541" s="66">
        <v>76880</v>
      </c>
      <c r="J541" s="66"/>
      <c r="K541" s="66">
        <f t="shared" si="113"/>
        <v>76880</v>
      </c>
      <c r="L541" s="66"/>
      <c r="M541" s="66"/>
      <c r="N541" s="66"/>
      <c r="O541" s="66">
        <f t="shared" si="114"/>
        <v>0</v>
      </c>
      <c r="P541" s="67"/>
      <c r="Q541" s="68">
        <f t="shared" si="109"/>
        <v>76880</v>
      </c>
      <c r="R541" s="68">
        <f t="shared" si="110"/>
        <v>0</v>
      </c>
      <c r="S541" s="68">
        <f t="shared" si="111"/>
        <v>76880</v>
      </c>
    </row>
    <row r="542" spans="2:19" x14ac:dyDescent="0.2">
      <c r="B542" s="48">
        <f t="shared" si="112"/>
        <v>91</v>
      </c>
      <c r="C542" s="11"/>
      <c r="D542" s="11"/>
      <c r="E542" s="11"/>
      <c r="F542" s="65"/>
      <c r="G542" s="10">
        <v>633</v>
      </c>
      <c r="H542" s="11" t="s">
        <v>126</v>
      </c>
      <c r="I542" s="66">
        <f>37545-2823</f>
        <v>34722</v>
      </c>
      <c r="J542" s="66">
        <v>-3280</v>
      </c>
      <c r="K542" s="66">
        <f t="shared" si="113"/>
        <v>31442</v>
      </c>
      <c r="L542" s="66"/>
      <c r="M542" s="66"/>
      <c r="N542" s="66"/>
      <c r="O542" s="66">
        <f t="shared" si="114"/>
        <v>0</v>
      </c>
      <c r="P542" s="67"/>
      <c r="Q542" s="68">
        <f t="shared" si="109"/>
        <v>34722</v>
      </c>
      <c r="R542" s="68">
        <f t="shared" si="110"/>
        <v>-3280</v>
      </c>
      <c r="S542" s="68">
        <f t="shared" si="111"/>
        <v>31442</v>
      </c>
    </row>
    <row r="543" spans="2:19" x14ac:dyDescent="0.2">
      <c r="B543" s="48">
        <f t="shared" si="112"/>
        <v>92</v>
      </c>
      <c r="C543" s="11"/>
      <c r="D543" s="11"/>
      <c r="E543" s="11"/>
      <c r="F543" s="65"/>
      <c r="G543" s="10">
        <v>635</v>
      </c>
      <c r="H543" s="11" t="s">
        <v>134</v>
      </c>
      <c r="I543" s="66">
        <f>11000-5000</f>
        <v>6000</v>
      </c>
      <c r="J543" s="66"/>
      <c r="K543" s="66">
        <f t="shared" si="113"/>
        <v>6000</v>
      </c>
      <c r="L543" s="66"/>
      <c r="M543" s="66"/>
      <c r="N543" s="66"/>
      <c r="O543" s="66">
        <f t="shared" si="114"/>
        <v>0</v>
      </c>
      <c r="P543" s="67"/>
      <c r="Q543" s="68">
        <f t="shared" si="109"/>
        <v>6000</v>
      </c>
      <c r="R543" s="68">
        <f t="shared" si="110"/>
        <v>0</v>
      </c>
      <c r="S543" s="68">
        <f t="shared" si="111"/>
        <v>6000</v>
      </c>
    </row>
    <row r="544" spans="2:19" x14ac:dyDescent="0.2">
      <c r="B544" s="48">
        <f t="shared" si="112"/>
        <v>93</v>
      </c>
      <c r="C544" s="11"/>
      <c r="D544" s="11"/>
      <c r="E544" s="11"/>
      <c r="F544" s="65"/>
      <c r="G544" s="10">
        <v>637</v>
      </c>
      <c r="H544" s="11" t="s">
        <v>123</v>
      </c>
      <c r="I544" s="66">
        <v>11045</v>
      </c>
      <c r="J544" s="66"/>
      <c r="K544" s="66">
        <f t="shared" si="113"/>
        <v>11045</v>
      </c>
      <c r="L544" s="66"/>
      <c r="M544" s="66"/>
      <c r="N544" s="66"/>
      <c r="O544" s="66">
        <f t="shared" si="114"/>
        <v>0</v>
      </c>
      <c r="P544" s="67"/>
      <c r="Q544" s="68">
        <f t="shared" si="109"/>
        <v>11045</v>
      </c>
      <c r="R544" s="68">
        <f t="shared" si="110"/>
        <v>0</v>
      </c>
      <c r="S544" s="68">
        <f t="shared" si="111"/>
        <v>11045</v>
      </c>
    </row>
    <row r="545" spans="2:19" x14ac:dyDescent="0.2">
      <c r="B545" s="48">
        <f t="shared" si="112"/>
        <v>94</v>
      </c>
      <c r="C545" s="9"/>
      <c r="D545" s="9"/>
      <c r="E545" s="9"/>
      <c r="F545" s="61" t="s">
        <v>188</v>
      </c>
      <c r="G545" s="8">
        <v>640</v>
      </c>
      <c r="H545" s="9" t="s">
        <v>130</v>
      </c>
      <c r="I545" s="62">
        <v>6509</v>
      </c>
      <c r="J545" s="62"/>
      <c r="K545" s="62">
        <f t="shared" si="113"/>
        <v>6509</v>
      </c>
      <c r="L545" s="62"/>
      <c r="M545" s="62"/>
      <c r="N545" s="62"/>
      <c r="O545" s="62">
        <f t="shared" si="114"/>
        <v>0</v>
      </c>
      <c r="P545" s="63"/>
      <c r="Q545" s="64">
        <f t="shared" si="109"/>
        <v>6509</v>
      </c>
      <c r="R545" s="64">
        <f t="shared" si="110"/>
        <v>0</v>
      </c>
      <c r="S545" s="64">
        <f t="shared" si="111"/>
        <v>6509</v>
      </c>
    </row>
    <row r="546" spans="2:19" x14ac:dyDescent="0.2">
      <c r="B546" s="48">
        <f t="shared" si="112"/>
        <v>95</v>
      </c>
      <c r="C546" s="9"/>
      <c r="D546" s="9"/>
      <c r="E546" s="9"/>
      <c r="F546" s="61" t="s">
        <v>188</v>
      </c>
      <c r="G546" s="8">
        <v>710</v>
      </c>
      <c r="H546" s="9" t="s">
        <v>176</v>
      </c>
      <c r="I546" s="62"/>
      <c r="J546" s="62"/>
      <c r="K546" s="62">
        <f t="shared" si="113"/>
        <v>0</v>
      </c>
      <c r="L546" s="62"/>
      <c r="M546" s="62">
        <f>M547</f>
        <v>95000</v>
      </c>
      <c r="N546" s="62">
        <f>N547</f>
        <v>0</v>
      </c>
      <c r="O546" s="62">
        <f t="shared" si="114"/>
        <v>95000</v>
      </c>
      <c r="P546" s="63"/>
      <c r="Q546" s="64">
        <f t="shared" si="109"/>
        <v>95000</v>
      </c>
      <c r="R546" s="64">
        <f t="shared" si="110"/>
        <v>0</v>
      </c>
      <c r="S546" s="64">
        <f t="shared" si="111"/>
        <v>95000</v>
      </c>
    </row>
    <row r="547" spans="2:19" x14ac:dyDescent="0.2">
      <c r="B547" s="48">
        <f t="shared" si="112"/>
        <v>96</v>
      </c>
      <c r="C547" s="11"/>
      <c r="D547" s="11"/>
      <c r="E547" s="11"/>
      <c r="F547" s="65"/>
      <c r="G547" s="10">
        <v>717</v>
      </c>
      <c r="H547" s="11" t="s">
        <v>183</v>
      </c>
      <c r="I547" s="66"/>
      <c r="J547" s="66"/>
      <c r="K547" s="66">
        <f t="shared" si="113"/>
        <v>0</v>
      </c>
      <c r="L547" s="66"/>
      <c r="M547" s="66">
        <f>SUM(M548:M549)</f>
        <v>95000</v>
      </c>
      <c r="N547" s="66">
        <f>SUM(N548:N549)</f>
        <v>0</v>
      </c>
      <c r="O547" s="66">
        <f t="shared" si="114"/>
        <v>95000</v>
      </c>
      <c r="P547" s="67"/>
      <c r="Q547" s="68">
        <f t="shared" si="109"/>
        <v>95000</v>
      </c>
      <c r="R547" s="68">
        <f t="shared" si="110"/>
        <v>0</v>
      </c>
      <c r="S547" s="68">
        <f t="shared" si="111"/>
        <v>95000</v>
      </c>
    </row>
    <row r="548" spans="2:19" x14ac:dyDescent="0.2">
      <c r="B548" s="48">
        <f t="shared" si="112"/>
        <v>97</v>
      </c>
      <c r="C548" s="13"/>
      <c r="D548" s="13"/>
      <c r="E548" s="13"/>
      <c r="F548" s="188"/>
      <c r="G548" s="82"/>
      <c r="H548" s="13" t="s">
        <v>401</v>
      </c>
      <c r="I548" s="83"/>
      <c r="J548" s="83"/>
      <c r="K548" s="83">
        <f t="shared" si="113"/>
        <v>0</v>
      </c>
      <c r="L548" s="83"/>
      <c r="M548" s="83">
        <v>60000</v>
      </c>
      <c r="N548" s="83"/>
      <c r="O548" s="83">
        <f t="shared" si="114"/>
        <v>60000</v>
      </c>
      <c r="P548" s="84"/>
      <c r="Q548" s="85">
        <f t="shared" si="109"/>
        <v>60000</v>
      </c>
      <c r="R548" s="85">
        <f t="shared" si="110"/>
        <v>0</v>
      </c>
      <c r="S548" s="85">
        <f t="shared" si="111"/>
        <v>60000</v>
      </c>
    </row>
    <row r="549" spans="2:19" x14ac:dyDescent="0.2">
      <c r="B549" s="48">
        <f t="shared" si="112"/>
        <v>98</v>
      </c>
      <c r="C549" s="13"/>
      <c r="D549" s="13"/>
      <c r="E549" s="13"/>
      <c r="F549" s="188"/>
      <c r="G549" s="82"/>
      <c r="H549" s="13" t="s">
        <v>536</v>
      </c>
      <c r="I549" s="83"/>
      <c r="J549" s="83"/>
      <c r="K549" s="83">
        <f t="shared" si="113"/>
        <v>0</v>
      </c>
      <c r="L549" s="83"/>
      <c r="M549" s="83">
        <v>35000</v>
      </c>
      <c r="N549" s="83"/>
      <c r="O549" s="83">
        <f t="shared" si="114"/>
        <v>35000</v>
      </c>
      <c r="P549" s="84"/>
      <c r="Q549" s="85">
        <f t="shared" si="109"/>
        <v>35000</v>
      </c>
      <c r="R549" s="85">
        <f t="shared" si="110"/>
        <v>0</v>
      </c>
      <c r="S549" s="85">
        <f t="shared" si="111"/>
        <v>35000</v>
      </c>
    </row>
    <row r="550" spans="2:19" x14ac:dyDescent="0.2">
      <c r="B550" s="48">
        <f t="shared" si="112"/>
        <v>99</v>
      </c>
      <c r="C550" s="184"/>
      <c r="D550" s="184"/>
      <c r="E550" s="184" t="s">
        <v>82</v>
      </c>
      <c r="F550" s="185"/>
      <c r="G550" s="185"/>
      <c r="H550" s="184" t="s">
        <v>533</v>
      </c>
      <c r="I550" s="186">
        <f>I551+I552+I553+I558</f>
        <v>517373</v>
      </c>
      <c r="J550" s="186">
        <f>J551+J552+J553+J558</f>
        <v>-1768</v>
      </c>
      <c r="K550" s="186">
        <f t="shared" si="113"/>
        <v>515605</v>
      </c>
      <c r="L550" s="62"/>
      <c r="M550" s="186">
        <f>M559</f>
        <v>35000</v>
      </c>
      <c r="N550" s="186">
        <f>N559</f>
        <v>0</v>
      </c>
      <c r="O550" s="186">
        <f t="shared" si="114"/>
        <v>35000</v>
      </c>
      <c r="P550" s="63"/>
      <c r="Q550" s="187">
        <f t="shared" si="109"/>
        <v>552373</v>
      </c>
      <c r="R550" s="187">
        <f t="shared" si="110"/>
        <v>-1768</v>
      </c>
      <c r="S550" s="187">
        <f t="shared" si="111"/>
        <v>550605</v>
      </c>
    </row>
    <row r="551" spans="2:19" x14ac:dyDescent="0.2">
      <c r="B551" s="48">
        <f t="shared" si="112"/>
        <v>100</v>
      </c>
      <c r="C551" s="9"/>
      <c r="D551" s="9"/>
      <c r="E551" s="9"/>
      <c r="F551" s="61" t="s">
        <v>188</v>
      </c>
      <c r="G551" s="8">
        <v>610</v>
      </c>
      <c r="H551" s="9" t="s">
        <v>132</v>
      </c>
      <c r="I551" s="62">
        <f>261562+100</f>
        <v>261662</v>
      </c>
      <c r="J551" s="62">
        <v>1051</v>
      </c>
      <c r="K551" s="62">
        <f t="shared" si="113"/>
        <v>262713</v>
      </c>
      <c r="L551" s="62"/>
      <c r="M551" s="62"/>
      <c r="N551" s="62"/>
      <c r="O551" s="62">
        <f t="shared" si="114"/>
        <v>0</v>
      </c>
      <c r="P551" s="63"/>
      <c r="Q551" s="64">
        <f t="shared" si="109"/>
        <v>261662</v>
      </c>
      <c r="R551" s="64">
        <f t="shared" si="110"/>
        <v>1051</v>
      </c>
      <c r="S551" s="64">
        <f t="shared" si="111"/>
        <v>262713</v>
      </c>
    </row>
    <row r="552" spans="2:19" x14ac:dyDescent="0.2">
      <c r="B552" s="48">
        <f t="shared" si="112"/>
        <v>101</v>
      </c>
      <c r="C552" s="9"/>
      <c r="D552" s="9"/>
      <c r="E552" s="9"/>
      <c r="F552" s="61" t="s">
        <v>188</v>
      </c>
      <c r="G552" s="8">
        <v>620</v>
      </c>
      <c r="H552" s="9" t="s">
        <v>125</v>
      </c>
      <c r="I552" s="62">
        <f>96750+35</f>
        <v>96785</v>
      </c>
      <c r="J552" s="62">
        <v>415</v>
      </c>
      <c r="K552" s="62">
        <f t="shared" si="113"/>
        <v>97200</v>
      </c>
      <c r="L552" s="62"/>
      <c r="M552" s="62"/>
      <c r="N552" s="62"/>
      <c r="O552" s="62">
        <f t="shared" si="114"/>
        <v>0</v>
      </c>
      <c r="P552" s="63"/>
      <c r="Q552" s="64">
        <f t="shared" si="109"/>
        <v>96785</v>
      </c>
      <c r="R552" s="64">
        <f t="shared" si="110"/>
        <v>415</v>
      </c>
      <c r="S552" s="64">
        <f t="shared" si="111"/>
        <v>97200</v>
      </c>
    </row>
    <row r="553" spans="2:19" x14ac:dyDescent="0.2">
      <c r="B553" s="48">
        <f t="shared" si="112"/>
        <v>102</v>
      </c>
      <c r="C553" s="9"/>
      <c r="D553" s="9"/>
      <c r="E553" s="9"/>
      <c r="F553" s="61" t="s">
        <v>188</v>
      </c>
      <c r="G553" s="8">
        <v>630</v>
      </c>
      <c r="H553" s="9" t="s">
        <v>122</v>
      </c>
      <c r="I553" s="62">
        <f>SUM(I554:I557)</f>
        <v>158476</v>
      </c>
      <c r="J553" s="62">
        <f>SUM(J554:J557)</f>
        <v>-3234</v>
      </c>
      <c r="K553" s="62">
        <f t="shared" si="113"/>
        <v>155242</v>
      </c>
      <c r="L553" s="62"/>
      <c r="M553" s="62"/>
      <c r="N553" s="62"/>
      <c r="O553" s="62">
        <f t="shared" si="114"/>
        <v>0</v>
      </c>
      <c r="P553" s="63"/>
      <c r="Q553" s="64">
        <f t="shared" si="109"/>
        <v>158476</v>
      </c>
      <c r="R553" s="64">
        <f t="shared" si="110"/>
        <v>-3234</v>
      </c>
      <c r="S553" s="64">
        <f t="shared" si="111"/>
        <v>155242</v>
      </c>
    </row>
    <row r="554" spans="2:19" x14ac:dyDescent="0.2">
      <c r="B554" s="48">
        <f t="shared" si="112"/>
        <v>103</v>
      </c>
      <c r="C554" s="11"/>
      <c r="D554" s="11"/>
      <c r="E554" s="11"/>
      <c r="F554" s="65"/>
      <c r="G554" s="10">
        <v>632</v>
      </c>
      <c r="H554" s="11" t="s">
        <v>135</v>
      </c>
      <c r="I554" s="66">
        <v>108350</v>
      </c>
      <c r="J554" s="66"/>
      <c r="K554" s="66">
        <f t="shared" si="113"/>
        <v>108350</v>
      </c>
      <c r="L554" s="66"/>
      <c r="M554" s="66"/>
      <c r="N554" s="66"/>
      <c r="O554" s="66">
        <f t="shared" si="114"/>
        <v>0</v>
      </c>
      <c r="P554" s="67"/>
      <c r="Q554" s="68">
        <f t="shared" si="109"/>
        <v>108350</v>
      </c>
      <c r="R554" s="68">
        <f t="shared" si="110"/>
        <v>0</v>
      </c>
      <c r="S554" s="68">
        <f t="shared" si="111"/>
        <v>108350</v>
      </c>
    </row>
    <row r="555" spans="2:19" x14ac:dyDescent="0.2">
      <c r="B555" s="48">
        <f t="shared" si="112"/>
        <v>104</v>
      </c>
      <c r="C555" s="11"/>
      <c r="D555" s="11"/>
      <c r="E555" s="11"/>
      <c r="F555" s="65"/>
      <c r="G555" s="10">
        <v>633</v>
      </c>
      <c r="H555" s="11" t="s">
        <v>126</v>
      </c>
      <c r="I555" s="66">
        <f>36992-4341</f>
        <v>32651</v>
      </c>
      <c r="J555" s="66">
        <v>-3234</v>
      </c>
      <c r="K555" s="66">
        <f t="shared" si="113"/>
        <v>29417</v>
      </c>
      <c r="L555" s="66"/>
      <c r="M555" s="66"/>
      <c r="N555" s="66"/>
      <c r="O555" s="66">
        <f t="shared" si="114"/>
        <v>0</v>
      </c>
      <c r="P555" s="67"/>
      <c r="Q555" s="68">
        <f t="shared" si="109"/>
        <v>32651</v>
      </c>
      <c r="R555" s="68">
        <f t="shared" si="110"/>
        <v>-3234</v>
      </c>
      <c r="S555" s="68">
        <f t="shared" si="111"/>
        <v>29417</v>
      </c>
    </row>
    <row r="556" spans="2:19" x14ac:dyDescent="0.2">
      <c r="B556" s="48">
        <f t="shared" si="112"/>
        <v>105</v>
      </c>
      <c r="C556" s="11"/>
      <c r="D556" s="11"/>
      <c r="E556" s="11"/>
      <c r="F556" s="65"/>
      <c r="G556" s="10">
        <v>635</v>
      </c>
      <c r="H556" s="11" t="s">
        <v>134</v>
      </c>
      <c r="I556" s="66">
        <f>10500-4000</f>
        <v>6500</v>
      </c>
      <c r="J556" s="66"/>
      <c r="K556" s="66">
        <f t="shared" si="113"/>
        <v>6500</v>
      </c>
      <c r="L556" s="66"/>
      <c r="M556" s="66"/>
      <c r="N556" s="66"/>
      <c r="O556" s="66">
        <f t="shared" si="114"/>
        <v>0</v>
      </c>
      <c r="P556" s="67"/>
      <c r="Q556" s="68">
        <f t="shared" si="109"/>
        <v>6500</v>
      </c>
      <c r="R556" s="68">
        <f t="shared" si="110"/>
        <v>0</v>
      </c>
      <c r="S556" s="68">
        <f t="shared" si="111"/>
        <v>6500</v>
      </c>
    </row>
    <row r="557" spans="2:19" x14ac:dyDescent="0.2">
      <c r="B557" s="48">
        <f t="shared" si="112"/>
        <v>106</v>
      </c>
      <c r="C557" s="11"/>
      <c r="D557" s="11"/>
      <c r="E557" s="11"/>
      <c r="F557" s="65"/>
      <c r="G557" s="10">
        <v>637</v>
      </c>
      <c r="H557" s="11" t="s">
        <v>123</v>
      </c>
      <c r="I557" s="66">
        <v>10975</v>
      </c>
      <c r="J557" s="66"/>
      <c r="K557" s="66">
        <f t="shared" si="113"/>
        <v>10975</v>
      </c>
      <c r="L557" s="66"/>
      <c r="M557" s="66"/>
      <c r="N557" s="66"/>
      <c r="O557" s="66">
        <f t="shared" si="114"/>
        <v>0</v>
      </c>
      <c r="P557" s="67"/>
      <c r="Q557" s="68">
        <f t="shared" si="109"/>
        <v>10975</v>
      </c>
      <c r="R557" s="68">
        <f t="shared" si="110"/>
        <v>0</v>
      </c>
      <c r="S557" s="68">
        <f t="shared" si="111"/>
        <v>10975</v>
      </c>
    </row>
    <row r="558" spans="2:19" x14ac:dyDescent="0.2">
      <c r="B558" s="48">
        <f t="shared" si="112"/>
        <v>107</v>
      </c>
      <c r="C558" s="9"/>
      <c r="D558" s="9"/>
      <c r="E558" s="9"/>
      <c r="F558" s="61" t="s">
        <v>188</v>
      </c>
      <c r="G558" s="8">
        <v>640</v>
      </c>
      <c r="H558" s="9" t="s">
        <v>130</v>
      </c>
      <c r="I558" s="62">
        <v>450</v>
      </c>
      <c r="J558" s="62"/>
      <c r="K558" s="62">
        <f t="shared" si="113"/>
        <v>450</v>
      </c>
      <c r="L558" s="62"/>
      <c r="M558" s="62"/>
      <c r="N558" s="62"/>
      <c r="O558" s="62">
        <f t="shared" si="114"/>
        <v>0</v>
      </c>
      <c r="P558" s="63"/>
      <c r="Q558" s="64">
        <f t="shared" si="109"/>
        <v>450</v>
      </c>
      <c r="R558" s="64">
        <f t="shared" si="110"/>
        <v>0</v>
      </c>
      <c r="S558" s="64">
        <f t="shared" si="111"/>
        <v>450</v>
      </c>
    </row>
    <row r="559" spans="2:19" x14ac:dyDescent="0.2">
      <c r="B559" s="48">
        <f t="shared" si="112"/>
        <v>108</v>
      </c>
      <c r="C559" s="9"/>
      <c r="D559" s="9"/>
      <c r="E559" s="9"/>
      <c r="F559" s="61" t="s">
        <v>188</v>
      </c>
      <c r="G559" s="8">
        <v>710</v>
      </c>
      <c r="H559" s="9" t="s">
        <v>176</v>
      </c>
      <c r="I559" s="62"/>
      <c r="J559" s="62"/>
      <c r="K559" s="62">
        <f t="shared" si="113"/>
        <v>0</v>
      </c>
      <c r="L559" s="62"/>
      <c r="M559" s="62">
        <f>M560</f>
        <v>35000</v>
      </c>
      <c r="N559" s="62">
        <f>N560</f>
        <v>0</v>
      </c>
      <c r="O559" s="62">
        <f t="shared" si="114"/>
        <v>35000</v>
      </c>
      <c r="P559" s="63"/>
      <c r="Q559" s="64">
        <f t="shared" si="109"/>
        <v>35000</v>
      </c>
      <c r="R559" s="64">
        <f t="shared" si="110"/>
        <v>0</v>
      </c>
      <c r="S559" s="64">
        <f t="shared" si="111"/>
        <v>35000</v>
      </c>
    </row>
    <row r="560" spans="2:19" x14ac:dyDescent="0.2">
      <c r="B560" s="48">
        <f t="shared" si="112"/>
        <v>109</v>
      </c>
      <c r="C560" s="9"/>
      <c r="D560" s="9"/>
      <c r="E560" s="9"/>
      <c r="F560" s="61"/>
      <c r="G560" s="10">
        <v>717</v>
      </c>
      <c r="H560" s="11" t="s">
        <v>183</v>
      </c>
      <c r="I560" s="66"/>
      <c r="J560" s="66"/>
      <c r="K560" s="66">
        <f t="shared" si="113"/>
        <v>0</v>
      </c>
      <c r="L560" s="66"/>
      <c r="M560" s="66">
        <f>M561</f>
        <v>35000</v>
      </c>
      <c r="N560" s="66">
        <f>N561</f>
        <v>0</v>
      </c>
      <c r="O560" s="66">
        <f t="shared" si="114"/>
        <v>35000</v>
      </c>
      <c r="P560" s="63"/>
      <c r="Q560" s="68">
        <f t="shared" si="109"/>
        <v>35000</v>
      </c>
      <c r="R560" s="68">
        <f t="shared" si="110"/>
        <v>0</v>
      </c>
      <c r="S560" s="68">
        <f t="shared" si="111"/>
        <v>35000</v>
      </c>
    </row>
    <row r="561" spans="2:19" x14ac:dyDescent="0.2">
      <c r="B561" s="48">
        <f t="shared" si="112"/>
        <v>110</v>
      </c>
      <c r="C561" s="13"/>
      <c r="D561" s="13"/>
      <c r="E561" s="13"/>
      <c r="F561" s="188"/>
      <c r="G561" s="82"/>
      <c r="H561" s="13" t="s">
        <v>534</v>
      </c>
      <c r="I561" s="83"/>
      <c r="J561" s="83"/>
      <c r="K561" s="83">
        <f t="shared" si="113"/>
        <v>0</v>
      </c>
      <c r="L561" s="83"/>
      <c r="M561" s="83">
        <v>35000</v>
      </c>
      <c r="N561" s="83"/>
      <c r="O561" s="83">
        <f t="shared" si="114"/>
        <v>35000</v>
      </c>
      <c r="P561" s="84"/>
      <c r="Q561" s="85">
        <f t="shared" si="109"/>
        <v>35000</v>
      </c>
      <c r="R561" s="85">
        <f t="shared" si="110"/>
        <v>0</v>
      </c>
      <c r="S561" s="85">
        <f t="shared" si="111"/>
        <v>35000</v>
      </c>
    </row>
    <row r="562" spans="2:19" x14ac:dyDescent="0.2">
      <c r="B562" s="48">
        <f t="shared" si="112"/>
        <v>111</v>
      </c>
      <c r="C562" s="184"/>
      <c r="D562" s="184"/>
      <c r="E562" s="184" t="s">
        <v>102</v>
      </c>
      <c r="F562" s="185"/>
      <c r="G562" s="185"/>
      <c r="H562" s="184" t="s">
        <v>103</v>
      </c>
      <c r="I562" s="186">
        <f>I563+I564+I565+I570</f>
        <v>319999</v>
      </c>
      <c r="J562" s="186">
        <f>J563+J564+J565+J570</f>
        <v>-284</v>
      </c>
      <c r="K562" s="186">
        <f t="shared" si="113"/>
        <v>319715</v>
      </c>
      <c r="L562" s="62"/>
      <c r="M562" s="186"/>
      <c r="N562" s="186"/>
      <c r="O562" s="186">
        <f t="shared" si="114"/>
        <v>0</v>
      </c>
      <c r="P562" s="63"/>
      <c r="Q562" s="187">
        <f t="shared" si="109"/>
        <v>319999</v>
      </c>
      <c r="R562" s="187">
        <f t="shared" si="110"/>
        <v>-284</v>
      </c>
      <c r="S562" s="187">
        <f t="shared" si="111"/>
        <v>319715</v>
      </c>
    </row>
    <row r="563" spans="2:19" x14ac:dyDescent="0.2">
      <c r="B563" s="48">
        <f t="shared" si="112"/>
        <v>112</v>
      </c>
      <c r="C563" s="9"/>
      <c r="D563" s="9"/>
      <c r="E563" s="9"/>
      <c r="F563" s="61" t="s">
        <v>188</v>
      </c>
      <c r="G563" s="8">
        <v>610</v>
      </c>
      <c r="H563" s="9" t="s">
        <v>132</v>
      </c>
      <c r="I563" s="62">
        <v>185808</v>
      </c>
      <c r="J563" s="62">
        <v>526</v>
      </c>
      <c r="K563" s="62">
        <f t="shared" si="113"/>
        <v>186334</v>
      </c>
      <c r="L563" s="62"/>
      <c r="M563" s="62"/>
      <c r="N563" s="62"/>
      <c r="O563" s="62">
        <f t="shared" si="114"/>
        <v>0</v>
      </c>
      <c r="P563" s="63"/>
      <c r="Q563" s="64">
        <f t="shared" si="109"/>
        <v>185808</v>
      </c>
      <c r="R563" s="64">
        <f t="shared" si="110"/>
        <v>526</v>
      </c>
      <c r="S563" s="64">
        <f t="shared" si="111"/>
        <v>186334</v>
      </c>
    </row>
    <row r="564" spans="2:19" x14ac:dyDescent="0.2">
      <c r="B564" s="48">
        <f t="shared" si="112"/>
        <v>113</v>
      </c>
      <c r="C564" s="9"/>
      <c r="D564" s="9"/>
      <c r="E564" s="9"/>
      <c r="F564" s="61" t="s">
        <v>188</v>
      </c>
      <c r="G564" s="8">
        <v>620</v>
      </c>
      <c r="H564" s="9" t="s">
        <v>125</v>
      </c>
      <c r="I564" s="62">
        <v>69592</v>
      </c>
      <c r="J564" s="62">
        <v>207</v>
      </c>
      <c r="K564" s="62">
        <f t="shared" si="113"/>
        <v>69799</v>
      </c>
      <c r="L564" s="62"/>
      <c r="M564" s="62"/>
      <c r="N564" s="62"/>
      <c r="O564" s="62">
        <f t="shared" si="114"/>
        <v>0</v>
      </c>
      <c r="P564" s="63"/>
      <c r="Q564" s="64">
        <f t="shared" si="109"/>
        <v>69592</v>
      </c>
      <c r="R564" s="64">
        <f t="shared" si="110"/>
        <v>207</v>
      </c>
      <c r="S564" s="64">
        <f t="shared" si="111"/>
        <v>69799</v>
      </c>
    </row>
    <row r="565" spans="2:19" x14ac:dyDescent="0.2">
      <c r="B565" s="48">
        <f t="shared" si="112"/>
        <v>114</v>
      </c>
      <c r="C565" s="9"/>
      <c r="D565" s="9"/>
      <c r="E565" s="9"/>
      <c r="F565" s="61" t="s">
        <v>188</v>
      </c>
      <c r="G565" s="8">
        <v>630</v>
      </c>
      <c r="H565" s="9" t="s">
        <v>122</v>
      </c>
      <c r="I565" s="62">
        <f>SUM(I566:I569)</f>
        <v>61094</v>
      </c>
      <c r="J565" s="62">
        <f>SUM(J566:J569)</f>
        <v>-1017</v>
      </c>
      <c r="K565" s="62">
        <f t="shared" si="113"/>
        <v>60077</v>
      </c>
      <c r="L565" s="62"/>
      <c r="M565" s="62"/>
      <c r="N565" s="62"/>
      <c r="O565" s="62">
        <f t="shared" si="114"/>
        <v>0</v>
      </c>
      <c r="P565" s="63"/>
      <c r="Q565" s="64">
        <f t="shared" si="109"/>
        <v>61094</v>
      </c>
      <c r="R565" s="64">
        <f t="shared" si="110"/>
        <v>-1017</v>
      </c>
      <c r="S565" s="64">
        <f t="shared" si="111"/>
        <v>60077</v>
      </c>
    </row>
    <row r="566" spans="2:19" x14ac:dyDescent="0.2">
      <c r="B566" s="48">
        <f t="shared" si="112"/>
        <v>115</v>
      </c>
      <c r="C566" s="11"/>
      <c r="D566" s="11"/>
      <c r="E566" s="11"/>
      <c r="F566" s="65"/>
      <c r="G566" s="10">
        <v>632</v>
      </c>
      <c r="H566" s="11" t="s">
        <v>135</v>
      </c>
      <c r="I566" s="66">
        <v>29180</v>
      </c>
      <c r="J566" s="66"/>
      <c r="K566" s="66">
        <f t="shared" si="113"/>
        <v>29180</v>
      </c>
      <c r="L566" s="66"/>
      <c r="M566" s="66"/>
      <c r="N566" s="66"/>
      <c r="O566" s="66">
        <f t="shared" si="114"/>
        <v>0</v>
      </c>
      <c r="P566" s="67"/>
      <c r="Q566" s="68">
        <f t="shared" si="109"/>
        <v>29180</v>
      </c>
      <c r="R566" s="68">
        <f t="shared" si="110"/>
        <v>0</v>
      </c>
      <c r="S566" s="68">
        <f t="shared" si="111"/>
        <v>29180</v>
      </c>
    </row>
    <row r="567" spans="2:19" x14ac:dyDescent="0.2">
      <c r="B567" s="48">
        <f t="shared" si="112"/>
        <v>116</v>
      </c>
      <c r="C567" s="11"/>
      <c r="D567" s="11"/>
      <c r="E567" s="11"/>
      <c r="F567" s="65"/>
      <c r="G567" s="10">
        <v>633</v>
      </c>
      <c r="H567" s="11" t="s">
        <v>126</v>
      </c>
      <c r="I567" s="66">
        <f>22206-3215</f>
        <v>18991</v>
      </c>
      <c r="J567" s="66">
        <v>-1017</v>
      </c>
      <c r="K567" s="66">
        <f t="shared" si="113"/>
        <v>17974</v>
      </c>
      <c r="L567" s="66"/>
      <c r="M567" s="66"/>
      <c r="N567" s="66"/>
      <c r="O567" s="66">
        <f t="shared" si="114"/>
        <v>0</v>
      </c>
      <c r="P567" s="67"/>
      <c r="Q567" s="68">
        <f t="shared" si="109"/>
        <v>18991</v>
      </c>
      <c r="R567" s="68">
        <f t="shared" si="110"/>
        <v>-1017</v>
      </c>
      <c r="S567" s="68">
        <f t="shared" si="111"/>
        <v>17974</v>
      </c>
    </row>
    <row r="568" spans="2:19" x14ac:dyDescent="0.2">
      <c r="B568" s="48">
        <f t="shared" si="112"/>
        <v>117</v>
      </c>
      <c r="C568" s="11"/>
      <c r="D568" s="11"/>
      <c r="E568" s="11"/>
      <c r="F568" s="65"/>
      <c r="G568" s="10">
        <v>635</v>
      </c>
      <c r="H568" s="11" t="s">
        <v>134</v>
      </c>
      <c r="I568" s="66">
        <v>4800</v>
      </c>
      <c r="J568" s="66"/>
      <c r="K568" s="66">
        <f t="shared" si="113"/>
        <v>4800</v>
      </c>
      <c r="L568" s="66"/>
      <c r="M568" s="66"/>
      <c r="N568" s="66"/>
      <c r="O568" s="66">
        <f t="shared" si="114"/>
        <v>0</v>
      </c>
      <c r="P568" s="67"/>
      <c r="Q568" s="68">
        <f t="shared" si="109"/>
        <v>4800</v>
      </c>
      <c r="R568" s="68">
        <f t="shared" si="110"/>
        <v>0</v>
      </c>
      <c r="S568" s="68">
        <f t="shared" si="111"/>
        <v>4800</v>
      </c>
    </row>
    <row r="569" spans="2:19" x14ac:dyDescent="0.2">
      <c r="B569" s="48">
        <f t="shared" si="112"/>
        <v>118</v>
      </c>
      <c r="C569" s="11"/>
      <c r="D569" s="11"/>
      <c r="E569" s="11"/>
      <c r="F569" s="65"/>
      <c r="G569" s="10">
        <v>637</v>
      </c>
      <c r="H569" s="11" t="s">
        <v>123</v>
      </c>
      <c r="I569" s="66">
        <v>8123</v>
      </c>
      <c r="J569" s="66"/>
      <c r="K569" s="66">
        <f t="shared" si="113"/>
        <v>8123</v>
      </c>
      <c r="L569" s="66"/>
      <c r="M569" s="66"/>
      <c r="N569" s="66"/>
      <c r="O569" s="66">
        <f t="shared" si="114"/>
        <v>0</v>
      </c>
      <c r="P569" s="67"/>
      <c r="Q569" s="68">
        <f t="shared" si="109"/>
        <v>8123</v>
      </c>
      <c r="R569" s="68">
        <f t="shared" si="110"/>
        <v>0</v>
      </c>
      <c r="S569" s="68">
        <f t="shared" si="111"/>
        <v>8123</v>
      </c>
    </row>
    <row r="570" spans="2:19" x14ac:dyDescent="0.2">
      <c r="B570" s="48">
        <f t="shared" si="112"/>
        <v>119</v>
      </c>
      <c r="C570" s="9"/>
      <c r="D570" s="9"/>
      <c r="E570" s="9"/>
      <c r="F570" s="61" t="s">
        <v>188</v>
      </c>
      <c r="G570" s="8">
        <v>640</v>
      </c>
      <c r="H570" s="9" t="s">
        <v>130</v>
      </c>
      <c r="I570" s="62">
        <v>3505</v>
      </c>
      <c r="J570" s="62"/>
      <c r="K570" s="62">
        <f t="shared" si="113"/>
        <v>3505</v>
      </c>
      <c r="L570" s="62"/>
      <c r="M570" s="62"/>
      <c r="N570" s="62"/>
      <c r="O570" s="62">
        <f t="shared" si="114"/>
        <v>0</v>
      </c>
      <c r="P570" s="63"/>
      <c r="Q570" s="64">
        <f t="shared" si="109"/>
        <v>3505</v>
      </c>
      <c r="R570" s="64">
        <f t="shared" si="110"/>
        <v>0</v>
      </c>
      <c r="S570" s="64">
        <f t="shared" si="111"/>
        <v>3505</v>
      </c>
    </row>
    <row r="571" spans="2:19" x14ac:dyDescent="0.2">
      <c r="B571" s="48">
        <f t="shared" si="112"/>
        <v>120</v>
      </c>
      <c r="C571" s="184"/>
      <c r="D571" s="184"/>
      <c r="E571" s="184" t="s">
        <v>101</v>
      </c>
      <c r="F571" s="185"/>
      <c r="G571" s="185"/>
      <c r="H571" s="184" t="s">
        <v>61</v>
      </c>
      <c r="I571" s="186">
        <f>I572+I573+I574+I579</f>
        <v>506489</v>
      </c>
      <c r="J571" s="186">
        <f>J572+J573+J574+J579</f>
        <v>900</v>
      </c>
      <c r="K571" s="186">
        <f t="shared" si="113"/>
        <v>507389</v>
      </c>
      <c r="L571" s="62"/>
      <c r="M571" s="186"/>
      <c r="N571" s="186"/>
      <c r="O571" s="186">
        <f t="shared" si="114"/>
        <v>0</v>
      </c>
      <c r="P571" s="63"/>
      <c r="Q571" s="187">
        <f t="shared" si="109"/>
        <v>506489</v>
      </c>
      <c r="R571" s="187">
        <f t="shared" si="110"/>
        <v>900</v>
      </c>
      <c r="S571" s="187">
        <f t="shared" si="111"/>
        <v>507389</v>
      </c>
    </row>
    <row r="572" spans="2:19" x14ac:dyDescent="0.2">
      <c r="B572" s="48">
        <f t="shared" si="112"/>
        <v>121</v>
      </c>
      <c r="C572" s="9"/>
      <c r="D572" s="9"/>
      <c r="E572" s="9"/>
      <c r="F572" s="61" t="s">
        <v>188</v>
      </c>
      <c r="G572" s="8">
        <v>610</v>
      </c>
      <c r="H572" s="9" t="s">
        <v>132</v>
      </c>
      <c r="I572" s="62">
        <v>280574</v>
      </c>
      <c r="J572" s="62">
        <v>1209</v>
      </c>
      <c r="K572" s="62">
        <f t="shared" si="113"/>
        <v>281783</v>
      </c>
      <c r="L572" s="62"/>
      <c r="M572" s="62"/>
      <c r="N572" s="62"/>
      <c r="O572" s="62">
        <f t="shared" si="114"/>
        <v>0</v>
      </c>
      <c r="P572" s="63"/>
      <c r="Q572" s="64">
        <f t="shared" si="109"/>
        <v>280574</v>
      </c>
      <c r="R572" s="64">
        <f t="shared" si="110"/>
        <v>1209</v>
      </c>
      <c r="S572" s="64">
        <f t="shared" si="111"/>
        <v>281783</v>
      </c>
    </row>
    <row r="573" spans="2:19" x14ac:dyDescent="0.2">
      <c r="B573" s="48">
        <f t="shared" si="112"/>
        <v>122</v>
      </c>
      <c r="C573" s="9"/>
      <c r="D573" s="9"/>
      <c r="E573" s="9"/>
      <c r="F573" s="61" t="s">
        <v>188</v>
      </c>
      <c r="G573" s="8">
        <v>620</v>
      </c>
      <c r="H573" s="9" t="s">
        <v>125</v>
      </c>
      <c r="I573" s="62">
        <v>105305</v>
      </c>
      <c r="J573" s="62">
        <v>467</v>
      </c>
      <c r="K573" s="62">
        <f t="shared" si="113"/>
        <v>105772</v>
      </c>
      <c r="L573" s="62"/>
      <c r="M573" s="62"/>
      <c r="N573" s="62"/>
      <c r="O573" s="62">
        <f t="shared" si="114"/>
        <v>0</v>
      </c>
      <c r="P573" s="63"/>
      <c r="Q573" s="64">
        <f t="shared" si="109"/>
        <v>105305</v>
      </c>
      <c r="R573" s="64">
        <f t="shared" si="110"/>
        <v>467</v>
      </c>
      <c r="S573" s="64">
        <f t="shared" si="111"/>
        <v>105772</v>
      </c>
    </row>
    <row r="574" spans="2:19" s="79" customFormat="1" x14ac:dyDescent="0.2">
      <c r="B574" s="48">
        <f t="shared" si="112"/>
        <v>123</v>
      </c>
      <c r="C574" s="9"/>
      <c r="D574" s="9"/>
      <c r="E574" s="9"/>
      <c r="F574" s="61" t="s">
        <v>188</v>
      </c>
      <c r="G574" s="8">
        <v>630</v>
      </c>
      <c r="H574" s="9" t="s">
        <v>122</v>
      </c>
      <c r="I574" s="62">
        <f>SUM(I575:I578)</f>
        <v>114975</v>
      </c>
      <c r="J574" s="62">
        <f>SUM(J575:J578)</f>
        <v>-776</v>
      </c>
      <c r="K574" s="62">
        <f t="shared" si="113"/>
        <v>114199</v>
      </c>
      <c r="L574" s="62"/>
      <c r="M574" s="62"/>
      <c r="N574" s="62"/>
      <c r="O574" s="62">
        <f t="shared" si="114"/>
        <v>0</v>
      </c>
      <c r="P574" s="63"/>
      <c r="Q574" s="64">
        <f t="shared" si="109"/>
        <v>114975</v>
      </c>
      <c r="R574" s="64">
        <f t="shared" si="110"/>
        <v>-776</v>
      </c>
      <c r="S574" s="64">
        <f t="shared" si="111"/>
        <v>114199</v>
      </c>
    </row>
    <row r="575" spans="2:19" s="79" customFormat="1" x14ac:dyDescent="0.2">
      <c r="B575" s="48">
        <f t="shared" si="112"/>
        <v>124</v>
      </c>
      <c r="C575" s="11"/>
      <c r="D575" s="11"/>
      <c r="E575" s="11"/>
      <c r="F575" s="65"/>
      <c r="G575" s="10">
        <v>632</v>
      </c>
      <c r="H575" s="11" t="s">
        <v>135</v>
      </c>
      <c r="I575" s="66">
        <v>66355</v>
      </c>
      <c r="J575" s="66"/>
      <c r="K575" s="66">
        <f t="shared" si="113"/>
        <v>66355</v>
      </c>
      <c r="L575" s="66"/>
      <c r="M575" s="66"/>
      <c r="N575" s="66"/>
      <c r="O575" s="66">
        <f t="shared" si="114"/>
        <v>0</v>
      </c>
      <c r="P575" s="67"/>
      <c r="Q575" s="68">
        <f t="shared" si="109"/>
        <v>66355</v>
      </c>
      <c r="R575" s="68">
        <f t="shared" si="110"/>
        <v>0</v>
      </c>
      <c r="S575" s="68">
        <f t="shared" si="111"/>
        <v>66355</v>
      </c>
    </row>
    <row r="576" spans="2:19" s="79" customFormat="1" x14ac:dyDescent="0.2">
      <c r="B576" s="48">
        <f t="shared" si="112"/>
        <v>125</v>
      </c>
      <c r="C576" s="11"/>
      <c r="D576" s="11"/>
      <c r="E576" s="11"/>
      <c r="F576" s="65"/>
      <c r="G576" s="10">
        <v>633</v>
      </c>
      <c r="H576" s="11" t="s">
        <v>126</v>
      </c>
      <c r="I576" s="66">
        <f>36526-4051</f>
        <v>32475</v>
      </c>
      <c r="J576" s="66">
        <v>-776</v>
      </c>
      <c r="K576" s="66">
        <f t="shared" si="113"/>
        <v>31699</v>
      </c>
      <c r="L576" s="66"/>
      <c r="M576" s="66"/>
      <c r="N576" s="66"/>
      <c r="O576" s="66">
        <f t="shared" si="114"/>
        <v>0</v>
      </c>
      <c r="P576" s="67"/>
      <c r="Q576" s="68">
        <f t="shared" si="109"/>
        <v>32475</v>
      </c>
      <c r="R576" s="68">
        <f t="shared" si="110"/>
        <v>-776</v>
      </c>
      <c r="S576" s="68">
        <f t="shared" si="111"/>
        <v>31699</v>
      </c>
    </row>
    <row r="577" spans="2:19" s="79" customFormat="1" x14ac:dyDescent="0.2">
      <c r="B577" s="48">
        <f t="shared" si="112"/>
        <v>126</v>
      </c>
      <c r="C577" s="11"/>
      <c r="D577" s="11"/>
      <c r="E577" s="11"/>
      <c r="F577" s="65"/>
      <c r="G577" s="10">
        <v>635</v>
      </c>
      <c r="H577" s="11" t="s">
        <v>134</v>
      </c>
      <c r="I577" s="66">
        <f>8000-2000</f>
        <v>6000</v>
      </c>
      <c r="J577" s="66"/>
      <c r="K577" s="66">
        <f t="shared" si="113"/>
        <v>6000</v>
      </c>
      <c r="L577" s="66"/>
      <c r="M577" s="66"/>
      <c r="N577" s="66"/>
      <c r="O577" s="66">
        <f t="shared" si="114"/>
        <v>0</v>
      </c>
      <c r="P577" s="67"/>
      <c r="Q577" s="68">
        <f t="shared" si="109"/>
        <v>6000</v>
      </c>
      <c r="R577" s="68">
        <f t="shared" si="110"/>
        <v>0</v>
      </c>
      <c r="S577" s="68">
        <f t="shared" si="111"/>
        <v>6000</v>
      </c>
    </row>
    <row r="578" spans="2:19" s="79" customFormat="1" x14ac:dyDescent="0.2">
      <c r="B578" s="48">
        <f t="shared" si="112"/>
        <v>127</v>
      </c>
      <c r="C578" s="11"/>
      <c r="D578" s="11"/>
      <c r="E578" s="11"/>
      <c r="F578" s="65"/>
      <c r="G578" s="10">
        <v>637</v>
      </c>
      <c r="H578" s="11" t="s">
        <v>123</v>
      </c>
      <c r="I578" s="66">
        <v>10145</v>
      </c>
      <c r="J578" s="66"/>
      <c r="K578" s="66">
        <f t="shared" si="113"/>
        <v>10145</v>
      </c>
      <c r="L578" s="66"/>
      <c r="M578" s="66"/>
      <c r="N578" s="66"/>
      <c r="O578" s="66">
        <f t="shared" si="114"/>
        <v>0</v>
      </c>
      <c r="P578" s="67"/>
      <c r="Q578" s="68">
        <f t="shared" si="109"/>
        <v>10145</v>
      </c>
      <c r="R578" s="68">
        <f t="shared" si="110"/>
        <v>0</v>
      </c>
      <c r="S578" s="68">
        <f t="shared" si="111"/>
        <v>10145</v>
      </c>
    </row>
    <row r="579" spans="2:19" s="79" customFormat="1" x14ac:dyDescent="0.2">
      <c r="B579" s="48">
        <f t="shared" si="112"/>
        <v>128</v>
      </c>
      <c r="C579" s="9"/>
      <c r="D579" s="9"/>
      <c r="E579" s="9"/>
      <c r="F579" s="61" t="s">
        <v>188</v>
      </c>
      <c r="G579" s="8">
        <v>640</v>
      </c>
      <c r="H579" s="9" t="s">
        <v>130</v>
      </c>
      <c r="I579" s="62">
        <v>5635</v>
      </c>
      <c r="J579" s="62"/>
      <c r="K579" s="62">
        <f t="shared" si="113"/>
        <v>5635</v>
      </c>
      <c r="L579" s="62"/>
      <c r="M579" s="62"/>
      <c r="N579" s="62"/>
      <c r="O579" s="62">
        <f t="shared" si="114"/>
        <v>0</v>
      </c>
      <c r="P579" s="63"/>
      <c r="Q579" s="64">
        <f t="shared" si="109"/>
        <v>5635</v>
      </c>
      <c r="R579" s="64">
        <f t="shared" si="110"/>
        <v>0</v>
      </c>
      <c r="S579" s="64">
        <f t="shared" si="111"/>
        <v>5635</v>
      </c>
    </row>
    <row r="580" spans="2:19" s="79" customFormat="1" x14ac:dyDescent="0.2">
      <c r="B580" s="48">
        <f t="shared" si="112"/>
        <v>129</v>
      </c>
      <c r="C580" s="184"/>
      <c r="D580" s="184"/>
      <c r="E580" s="184" t="s">
        <v>97</v>
      </c>
      <c r="F580" s="185"/>
      <c r="G580" s="185"/>
      <c r="H580" s="184" t="s">
        <v>66</v>
      </c>
      <c r="I580" s="186">
        <f>I581+I582+I583+I589</f>
        <v>512482</v>
      </c>
      <c r="J580" s="186">
        <f>J581+J582+J583+J589</f>
        <v>-6187</v>
      </c>
      <c r="K580" s="186">
        <f t="shared" si="113"/>
        <v>506295</v>
      </c>
      <c r="L580" s="62"/>
      <c r="M580" s="186"/>
      <c r="N580" s="186"/>
      <c r="O580" s="186">
        <f t="shared" si="114"/>
        <v>0</v>
      </c>
      <c r="P580" s="63"/>
      <c r="Q580" s="187">
        <f t="shared" si="109"/>
        <v>512482</v>
      </c>
      <c r="R580" s="187">
        <f t="shared" si="110"/>
        <v>-6187</v>
      </c>
      <c r="S580" s="187">
        <f t="shared" si="111"/>
        <v>506295</v>
      </c>
    </row>
    <row r="581" spans="2:19" s="79" customFormat="1" x14ac:dyDescent="0.2">
      <c r="B581" s="48">
        <f t="shared" si="112"/>
        <v>130</v>
      </c>
      <c r="C581" s="9"/>
      <c r="D581" s="9"/>
      <c r="E581" s="9"/>
      <c r="F581" s="61" t="s">
        <v>188</v>
      </c>
      <c r="G581" s="8">
        <v>610</v>
      </c>
      <c r="H581" s="9" t="s">
        <v>132</v>
      </c>
      <c r="I581" s="62">
        <f>273329+100</f>
        <v>273429</v>
      </c>
      <c r="J581" s="62">
        <v>712</v>
      </c>
      <c r="K581" s="62">
        <f t="shared" si="113"/>
        <v>274141</v>
      </c>
      <c r="L581" s="62"/>
      <c r="M581" s="62"/>
      <c r="N581" s="62"/>
      <c r="O581" s="62">
        <f t="shared" si="114"/>
        <v>0</v>
      </c>
      <c r="P581" s="63"/>
      <c r="Q581" s="64">
        <f t="shared" si="109"/>
        <v>273429</v>
      </c>
      <c r="R581" s="64">
        <f t="shared" si="110"/>
        <v>712</v>
      </c>
      <c r="S581" s="64">
        <f t="shared" si="111"/>
        <v>274141</v>
      </c>
    </row>
    <row r="582" spans="2:19" s="79" customFormat="1" x14ac:dyDescent="0.2">
      <c r="B582" s="48">
        <f t="shared" si="112"/>
        <v>131</v>
      </c>
      <c r="C582" s="9"/>
      <c r="D582" s="9"/>
      <c r="E582" s="9"/>
      <c r="F582" s="61" t="s">
        <v>188</v>
      </c>
      <c r="G582" s="8">
        <v>620</v>
      </c>
      <c r="H582" s="9" t="s">
        <v>125</v>
      </c>
      <c r="I582" s="62">
        <f>101682+35</f>
        <v>101717</v>
      </c>
      <c r="J582" s="62">
        <v>301</v>
      </c>
      <c r="K582" s="62">
        <f t="shared" si="113"/>
        <v>102018</v>
      </c>
      <c r="L582" s="62"/>
      <c r="M582" s="62"/>
      <c r="N582" s="62"/>
      <c r="O582" s="62">
        <f t="shared" si="114"/>
        <v>0</v>
      </c>
      <c r="P582" s="63"/>
      <c r="Q582" s="64">
        <f t="shared" ref="Q582:Q645" si="118">I582+M582</f>
        <v>101717</v>
      </c>
      <c r="R582" s="64">
        <f t="shared" ref="R582:R645" si="119">J582+N582</f>
        <v>301</v>
      </c>
      <c r="S582" s="64">
        <f t="shared" ref="S582:S645" si="120">K582+O582</f>
        <v>102018</v>
      </c>
    </row>
    <row r="583" spans="2:19" s="79" customFormat="1" x14ac:dyDescent="0.2">
      <c r="B583" s="48">
        <f t="shared" si="112"/>
        <v>132</v>
      </c>
      <c r="C583" s="9"/>
      <c r="D583" s="9"/>
      <c r="E583" s="9"/>
      <c r="F583" s="61" t="s">
        <v>188</v>
      </c>
      <c r="G583" s="8">
        <v>630</v>
      </c>
      <c r="H583" s="9" t="s">
        <v>122</v>
      </c>
      <c r="I583" s="62">
        <f>SUM(I584:I588)</f>
        <v>135219</v>
      </c>
      <c r="J583" s="62">
        <f>SUM(J584:J588)</f>
        <v>-7200</v>
      </c>
      <c r="K583" s="62">
        <f t="shared" si="113"/>
        <v>128019</v>
      </c>
      <c r="L583" s="62"/>
      <c r="M583" s="62"/>
      <c r="N583" s="62"/>
      <c r="O583" s="62">
        <f t="shared" si="114"/>
        <v>0</v>
      </c>
      <c r="P583" s="63"/>
      <c r="Q583" s="64">
        <f t="shared" si="118"/>
        <v>135219</v>
      </c>
      <c r="R583" s="64">
        <f t="shared" si="119"/>
        <v>-7200</v>
      </c>
      <c r="S583" s="64">
        <f t="shared" si="120"/>
        <v>128019</v>
      </c>
    </row>
    <row r="584" spans="2:19" s="79" customFormat="1" x14ac:dyDescent="0.2">
      <c r="B584" s="48">
        <f t="shared" si="112"/>
        <v>133</v>
      </c>
      <c r="C584" s="11"/>
      <c r="D584" s="11"/>
      <c r="E584" s="11"/>
      <c r="F584" s="65"/>
      <c r="G584" s="10">
        <v>632</v>
      </c>
      <c r="H584" s="11" t="s">
        <v>135</v>
      </c>
      <c r="I584" s="66">
        <v>77245</v>
      </c>
      <c r="J584" s="66"/>
      <c r="K584" s="66">
        <f t="shared" si="113"/>
        <v>77245</v>
      </c>
      <c r="L584" s="66"/>
      <c r="M584" s="66"/>
      <c r="N584" s="66"/>
      <c r="O584" s="66">
        <f t="shared" si="114"/>
        <v>0</v>
      </c>
      <c r="P584" s="67"/>
      <c r="Q584" s="68">
        <f t="shared" si="118"/>
        <v>77245</v>
      </c>
      <c r="R584" s="68">
        <f t="shared" si="119"/>
        <v>0</v>
      </c>
      <c r="S584" s="68">
        <f t="shared" si="120"/>
        <v>77245</v>
      </c>
    </row>
    <row r="585" spans="2:19" x14ac:dyDescent="0.2">
      <c r="B585" s="48">
        <f t="shared" si="112"/>
        <v>134</v>
      </c>
      <c r="C585" s="11"/>
      <c r="D585" s="11"/>
      <c r="E585" s="11"/>
      <c r="F585" s="65"/>
      <c r="G585" s="10">
        <v>633</v>
      </c>
      <c r="H585" s="11" t="s">
        <v>126</v>
      </c>
      <c r="I585" s="66">
        <f>42486-3117-105</f>
        <v>39264</v>
      </c>
      <c r="J585" s="66">
        <v>-7200</v>
      </c>
      <c r="K585" s="66">
        <f t="shared" si="113"/>
        <v>32064</v>
      </c>
      <c r="L585" s="66"/>
      <c r="M585" s="66"/>
      <c r="N585" s="66"/>
      <c r="O585" s="66">
        <f t="shared" si="114"/>
        <v>0</v>
      </c>
      <c r="P585" s="67"/>
      <c r="Q585" s="68">
        <f t="shared" si="118"/>
        <v>39264</v>
      </c>
      <c r="R585" s="68">
        <f t="shared" si="119"/>
        <v>-7200</v>
      </c>
      <c r="S585" s="68">
        <f t="shared" si="120"/>
        <v>32064</v>
      </c>
    </row>
    <row r="586" spans="2:19" x14ac:dyDescent="0.2">
      <c r="B586" s="48">
        <f t="shared" si="112"/>
        <v>135</v>
      </c>
      <c r="C586" s="11"/>
      <c r="D586" s="11"/>
      <c r="E586" s="11"/>
      <c r="F586" s="65"/>
      <c r="G586" s="10">
        <v>634</v>
      </c>
      <c r="H586" s="11" t="s">
        <v>133</v>
      </c>
      <c r="I586" s="66">
        <v>300</v>
      </c>
      <c r="J586" s="66"/>
      <c r="K586" s="66">
        <f t="shared" si="113"/>
        <v>300</v>
      </c>
      <c r="L586" s="66"/>
      <c r="M586" s="66"/>
      <c r="N586" s="66"/>
      <c r="O586" s="66">
        <f t="shared" si="114"/>
        <v>0</v>
      </c>
      <c r="P586" s="67"/>
      <c r="Q586" s="68">
        <f t="shared" si="118"/>
        <v>300</v>
      </c>
      <c r="R586" s="68">
        <f t="shared" si="119"/>
        <v>0</v>
      </c>
      <c r="S586" s="68">
        <f t="shared" si="120"/>
        <v>300</v>
      </c>
    </row>
    <row r="587" spans="2:19" x14ac:dyDescent="0.2">
      <c r="B587" s="48">
        <f t="shared" si="112"/>
        <v>136</v>
      </c>
      <c r="C587" s="11"/>
      <c r="D587" s="11"/>
      <c r="E587" s="11"/>
      <c r="F587" s="65"/>
      <c r="G587" s="10">
        <v>635</v>
      </c>
      <c r="H587" s="11" t="s">
        <v>134</v>
      </c>
      <c r="I587" s="66">
        <f>10200-4000</f>
        <v>6200</v>
      </c>
      <c r="J587" s="66"/>
      <c r="K587" s="66">
        <f t="shared" si="113"/>
        <v>6200</v>
      </c>
      <c r="L587" s="66"/>
      <c r="M587" s="66"/>
      <c r="N587" s="66"/>
      <c r="O587" s="66">
        <f t="shared" si="114"/>
        <v>0</v>
      </c>
      <c r="P587" s="67"/>
      <c r="Q587" s="68">
        <f t="shared" si="118"/>
        <v>6200</v>
      </c>
      <c r="R587" s="68">
        <f t="shared" si="119"/>
        <v>0</v>
      </c>
      <c r="S587" s="68">
        <f t="shared" si="120"/>
        <v>6200</v>
      </c>
    </row>
    <row r="588" spans="2:19" x14ac:dyDescent="0.2">
      <c r="B588" s="48">
        <f t="shared" ref="B588:B656" si="121">B587+1</f>
        <v>137</v>
      </c>
      <c r="C588" s="11"/>
      <c r="D588" s="11"/>
      <c r="E588" s="11"/>
      <c r="F588" s="65"/>
      <c r="G588" s="10">
        <v>637</v>
      </c>
      <c r="H588" s="11" t="s">
        <v>123</v>
      </c>
      <c r="I588" s="66">
        <f>12105+105</f>
        <v>12210</v>
      </c>
      <c r="J588" s="66"/>
      <c r="K588" s="66">
        <f t="shared" ref="K588:K656" si="122">I588+J588</f>
        <v>12210</v>
      </c>
      <c r="L588" s="66"/>
      <c r="M588" s="66"/>
      <c r="N588" s="66"/>
      <c r="O588" s="66">
        <f t="shared" ref="O588:O656" si="123">M588+N588</f>
        <v>0</v>
      </c>
      <c r="P588" s="67"/>
      <c r="Q588" s="68">
        <f t="shared" si="118"/>
        <v>12210</v>
      </c>
      <c r="R588" s="68">
        <f t="shared" si="119"/>
        <v>0</v>
      </c>
      <c r="S588" s="68">
        <f t="shared" si="120"/>
        <v>12210</v>
      </c>
    </row>
    <row r="589" spans="2:19" x14ac:dyDescent="0.2">
      <c r="B589" s="48">
        <f t="shared" si="121"/>
        <v>138</v>
      </c>
      <c r="C589" s="9"/>
      <c r="D589" s="9"/>
      <c r="E589" s="9"/>
      <c r="F589" s="61" t="s">
        <v>188</v>
      </c>
      <c r="G589" s="8">
        <v>640</v>
      </c>
      <c r="H589" s="9" t="s">
        <v>130</v>
      </c>
      <c r="I589" s="62">
        <v>2117</v>
      </c>
      <c r="J589" s="62"/>
      <c r="K589" s="62">
        <f t="shared" si="122"/>
        <v>2117</v>
      </c>
      <c r="L589" s="62"/>
      <c r="M589" s="62"/>
      <c r="N589" s="62"/>
      <c r="O589" s="62">
        <f t="shared" si="123"/>
        <v>0</v>
      </c>
      <c r="P589" s="63"/>
      <c r="Q589" s="64">
        <f t="shared" si="118"/>
        <v>2117</v>
      </c>
      <c r="R589" s="64">
        <f t="shared" si="119"/>
        <v>0</v>
      </c>
      <c r="S589" s="64">
        <f t="shared" si="120"/>
        <v>2117</v>
      </c>
    </row>
    <row r="590" spans="2:19" x14ac:dyDescent="0.2">
      <c r="B590" s="48">
        <f t="shared" si="121"/>
        <v>139</v>
      </c>
      <c r="C590" s="184"/>
      <c r="D590" s="184"/>
      <c r="E590" s="184" t="s">
        <v>100</v>
      </c>
      <c r="F590" s="185"/>
      <c r="G590" s="185"/>
      <c r="H590" s="184" t="s">
        <v>67</v>
      </c>
      <c r="I590" s="186">
        <f>I591+I592+I593+I598</f>
        <v>427866</v>
      </c>
      <c r="J590" s="186">
        <f>J591+J592+J593+J598</f>
        <v>-884</v>
      </c>
      <c r="K590" s="186">
        <f t="shared" si="122"/>
        <v>426982</v>
      </c>
      <c r="L590" s="62"/>
      <c r="M590" s="186"/>
      <c r="N590" s="186">
        <f>N599</f>
        <v>38500</v>
      </c>
      <c r="O590" s="186">
        <f t="shared" si="123"/>
        <v>38500</v>
      </c>
      <c r="P590" s="63"/>
      <c r="Q590" s="187">
        <f t="shared" si="118"/>
        <v>427866</v>
      </c>
      <c r="R590" s="187">
        <f t="shared" si="119"/>
        <v>37616</v>
      </c>
      <c r="S590" s="187">
        <f t="shared" si="120"/>
        <v>465482</v>
      </c>
    </row>
    <row r="591" spans="2:19" x14ac:dyDescent="0.2">
      <c r="B591" s="48">
        <f t="shared" si="121"/>
        <v>140</v>
      </c>
      <c r="C591" s="9"/>
      <c r="D591" s="9"/>
      <c r="E591" s="9"/>
      <c r="F591" s="61" t="s">
        <v>188</v>
      </c>
      <c r="G591" s="8">
        <v>610</v>
      </c>
      <c r="H591" s="9" t="s">
        <v>132</v>
      </c>
      <c r="I591" s="62">
        <v>253855</v>
      </c>
      <c r="J591" s="62">
        <v>629</v>
      </c>
      <c r="K591" s="62">
        <f t="shared" si="122"/>
        <v>254484</v>
      </c>
      <c r="L591" s="62"/>
      <c r="M591" s="62"/>
      <c r="N591" s="62"/>
      <c r="O591" s="62">
        <f t="shared" si="123"/>
        <v>0</v>
      </c>
      <c r="P591" s="63"/>
      <c r="Q591" s="64">
        <f t="shared" si="118"/>
        <v>253855</v>
      </c>
      <c r="R591" s="64">
        <f t="shared" si="119"/>
        <v>629</v>
      </c>
      <c r="S591" s="64">
        <f t="shared" si="120"/>
        <v>254484</v>
      </c>
    </row>
    <row r="592" spans="2:19" x14ac:dyDescent="0.2">
      <c r="B592" s="48">
        <f t="shared" si="121"/>
        <v>141</v>
      </c>
      <c r="C592" s="9"/>
      <c r="D592" s="9"/>
      <c r="E592" s="9"/>
      <c r="F592" s="61" t="s">
        <v>188</v>
      </c>
      <c r="G592" s="8">
        <v>620</v>
      </c>
      <c r="H592" s="9" t="s">
        <v>125</v>
      </c>
      <c r="I592" s="62">
        <v>93905</v>
      </c>
      <c r="J592" s="62">
        <v>247</v>
      </c>
      <c r="K592" s="62">
        <f t="shared" si="122"/>
        <v>94152</v>
      </c>
      <c r="L592" s="62"/>
      <c r="M592" s="62"/>
      <c r="N592" s="62"/>
      <c r="O592" s="62">
        <f t="shared" si="123"/>
        <v>0</v>
      </c>
      <c r="P592" s="63"/>
      <c r="Q592" s="64">
        <f t="shared" si="118"/>
        <v>93905</v>
      </c>
      <c r="R592" s="64">
        <f t="shared" si="119"/>
        <v>247</v>
      </c>
      <c r="S592" s="64">
        <f t="shared" si="120"/>
        <v>94152</v>
      </c>
    </row>
    <row r="593" spans="2:19" x14ac:dyDescent="0.2">
      <c r="B593" s="48">
        <f t="shared" si="121"/>
        <v>142</v>
      </c>
      <c r="C593" s="9"/>
      <c r="D593" s="9"/>
      <c r="E593" s="9"/>
      <c r="F593" s="61" t="s">
        <v>188</v>
      </c>
      <c r="G593" s="8">
        <v>630</v>
      </c>
      <c r="H593" s="9" t="s">
        <v>122</v>
      </c>
      <c r="I593" s="62">
        <f>SUM(I594:I597)</f>
        <v>79656</v>
      </c>
      <c r="J593" s="62">
        <f>SUM(J594:J597)</f>
        <v>-1760</v>
      </c>
      <c r="K593" s="62">
        <f t="shared" si="122"/>
        <v>77896</v>
      </c>
      <c r="L593" s="62"/>
      <c r="M593" s="62"/>
      <c r="N593" s="62"/>
      <c r="O593" s="62">
        <f t="shared" si="123"/>
        <v>0</v>
      </c>
      <c r="P593" s="63"/>
      <c r="Q593" s="64">
        <f t="shared" si="118"/>
        <v>79656</v>
      </c>
      <c r="R593" s="64">
        <f t="shared" si="119"/>
        <v>-1760</v>
      </c>
      <c r="S593" s="64">
        <f t="shared" si="120"/>
        <v>77896</v>
      </c>
    </row>
    <row r="594" spans="2:19" x14ac:dyDescent="0.2">
      <c r="B594" s="48">
        <f t="shared" si="121"/>
        <v>143</v>
      </c>
      <c r="C594" s="11"/>
      <c r="D594" s="11"/>
      <c r="E594" s="11"/>
      <c r="F594" s="65"/>
      <c r="G594" s="10">
        <v>632</v>
      </c>
      <c r="H594" s="11" t="s">
        <v>135</v>
      </c>
      <c r="I594" s="66">
        <v>40830</v>
      </c>
      <c r="J594" s="66"/>
      <c r="K594" s="66">
        <f t="shared" si="122"/>
        <v>40830</v>
      </c>
      <c r="L594" s="66"/>
      <c r="M594" s="66"/>
      <c r="N594" s="66"/>
      <c r="O594" s="66">
        <f t="shared" si="123"/>
        <v>0</v>
      </c>
      <c r="P594" s="67"/>
      <c r="Q594" s="68">
        <f t="shared" si="118"/>
        <v>40830</v>
      </c>
      <c r="R594" s="68">
        <f t="shared" si="119"/>
        <v>0</v>
      </c>
      <c r="S594" s="68">
        <f t="shared" si="120"/>
        <v>40830</v>
      </c>
    </row>
    <row r="595" spans="2:19" x14ac:dyDescent="0.2">
      <c r="B595" s="48">
        <f t="shared" si="121"/>
        <v>144</v>
      </c>
      <c r="C595" s="11"/>
      <c r="D595" s="11"/>
      <c r="E595" s="11"/>
      <c r="F595" s="65"/>
      <c r="G595" s="10">
        <v>633</v>
      </c>
      <c r="H595" s="11" t="s">
        <v>126</v>
      </c>
      <c r="I595" s="66">
        <f>25840-3668</f>
        <v>22172</v>
      </c>
      <c r="J595" s="66">
        <v>-1760</v>
      </c>
      <c r="K595" s="66">
        <f t="shared" si="122"/>
        <v>20412</v>
      </c>
      <c r="L595" s="66"/>
      <c r="M595" s="66"/>
      <c r="N595" s="66"/>
      <c r="O595" s="66">
        <f t="shared" si="123"/>
        <v>0</v>
      </c>
      <c r="P595" s="67"/>
      <c r="Q595" s="68">
        <f t="shared" si="118"/>
        <v>22172</v>
      </c>
      <c r="R595" s="68">
        <f t="shared" si="119"/>
        <v>-1760</v>
      </c>
      <c r="S595" s="68">
        <f t="shared" si="120"/>
        <v>20412</v>
      </c>
    </row>
    <row r="596" spans="2:19" x14ac:dyDescent="0.2">
      <c r="B596" s="48">
        <f t="shared" si="121"/>
        <v>145</v>
      </c>
      <c r="C596" s="11"/>
      <c r="D596" s="11"/>
      <c r="E596" s="11"/>
      <c r="F596" s="65"/>
      <c r="G596" s="10">
        <v>635</v>
      </c>
      <c r="H596" s="11" t="s">
        <v>134</v>
      </c>
      <c r="I596" s="66">
        <f>3400+4000</f>
        <v>7400</v>
      </c>
      <c r="J596" s="66"/>
      <c r="K596" s="66">
        <f t="shared" si="122"/>
        <v>7400</v>
      </c>
      <c r="L596" s="66"/>
      <c r="M596" s="66"/>
      <c r="N596" s="66"/>
      <c r="O596" s="66">
        <f t="shared" si="123"/>
        <v>0</v>
      </c>
      <c r="P596" s="67"/>
      <c r="Q596" s="68">
        <f t="shared" si="118"/>
        <v>7400</v>
      </c>
      <c r="R596" s="68">
        <f t="shared" si="119"/>
        <v>0</v>
      </c>
      <c r="S596" s="68">
        <f t="shared" si="120"/>
        <v>7400</v>
      </c>
    </row>
    <row r="597" spans="2:19" x14ac:dyDescent="0.2">
      <c r="B597" s="48">
        <f t="shared" si="121"/>
        <v>146</v>
      </c>
      <c r="C597" s="11"/>
      <c r="D597" s="11"/>
      <c r="E597" s="11"/>
      <c r="F597" s="65"/>
      <c r="G597" s="10">
        <v>637</v>
      </c>
      <c r="H597" s="11" t="s">
        <v>123</v>
      </c>
      <c r="I597" s="66">
        <v>9254</v>
      </c>
      <c r="J597" s="66"/>
      <c r="K597" s="66">
        <f t="shared" si="122"/>
        <v>9254</v>
      </c>
      <c r="L597" s="66"/>
      <c r="M597" s="66"/>
      <c r="N597" s="66"/>
      <c r="O597" s="66">
        <f t="shared" si="123"/>
        <v>0</v>
      </c>
      <c r="P597" s="67"/>
      <c r="Q597" s="68">
        <f t="shared" si="118"/>
        <v>9254</v>
      </c>
      <c r="R597" s="68">
        <f t="shared" si="119"/>
        <v>0</v>
      </c>
      <c r="S597" s="68">
        <f t="shared" si="120"/>
        <v>9254</v>
      </c>
    </row>
    <row r="598" spans="2:19" x14ac:dyDescent="0.2">
      <c r="B598" s="48">
        <f t="shared" si="121"/>
        <v>147</v>
      </c>
      <c r="C598" s="9"/>
      <c r="D598" s="9"/>
      <c r="E598" s="9"/>
      <c r="F598" s="61" t="s">
        <v>188</v>
      </c>
      <c r="G598" s="8">
        <v>640</v>
      </c>
      <c r="H598" s="9" t="s">
        <v>130</v>
      </c>
      <c r="I598" s="62">
        <v>450</v>
      </c>
      <c r="J598" s="62"/>
      <c r="K598" s="62">
        <f t="shared" si="122"/>
        <v>450</v>
      </c>
      <c r="L598" s="62"/>
      <c r="M598" s="62"/>
      <c r="N598" s="62"/>
      <c r="O598" s="62">
        <f t="shared" si="123"/>
        <v>0</v>
      </c>
      <c r="P598" s="63"/>
      <c r="Q598" s="64">
        <f t="shared" si="118"/>
        <v>450</v>
      </c>
      <c r="R598" s="64">
        <f t="shared" si="119"/>
        <v>0</v>
      </c>
      <c r="S598" s="64">
        <f t="shared" si="120"/>
        <v>450</v>
      </c>
    </row>
    <row r="599" spans="2:19" x14ac:dyDescent="0.2">
      <c r="B599" s="48">
        <f t="shared" si="121"/>
        <v>148</v>
      </c>
      <c r="C599" s="9"/>
      <c r="D599" s="9"/>
      <c r="E599" s="9"/>
      <c r="F599" s="61" t="s">
        <v>188</v>
      </c>
      <c r="G599" s="8">
        <v>710</v>
      </c>
      <c r="H599" s="9" t="s">
        <v>176</v>
      </c>
      <c r="I599" s="62"/>
      <c r="J599" s="62"/>
      <c r="K599" s="62">
        <f t="shared" si="122"/>
        <v>0</v>
      </c>
      <c r="L599" s="62"/>
      <c r="M599" s="62">
        <f>M600</f>
        <v>0</v>
      </c>
      <c r="N599" s="62">
        <f>N600</f>
        <v>38500</v>
      </c>
      <c r="O599" s="62">
        <f t="shared" si="123"/>
        <v>38500</v>
      </c>
      <c r="P599" s="63"/>
      <c r="Q599" s="64">
        <f t="shared" si="118"/>
        <v>0</v>
      </c>
      <c r="R599" s="64">
        <f t="shared" si="119"/>
        <v>38500</v>
      </c>
      <c r="S599" s="64">
        <f t="shared" si="120"/>
        <v>38500</v>
      </c>
    </row>
    <row r="600" spans="2:19" x14ac:dyDescent="0.2">
      <c r="B600" s="48">
        <f t="shared" si="121"/>
        <v>149</v>
      </c>
      <c r="C600" s="9"/>
      <c r="D600" s="9"/>
      <c r="E600" s="9"/>
      <c r="F600" s="61"/>
      <c r="G600" s="10">
        <v>717</v>
      </c>
      <c r="H600" s="11" t="s">
        <v>183</v>
      </c>
      <c r="I600" s="66"/>
      <c r="J600" s="66"/>
      <c r="K600" s="66">
        <f t="shared" si="122"/>
        <v>0</v>
      </c>
      <c r="L600" s="66"/>
      <c r="M600" s="66">
        <f>M601</f>
        <v>0</v>
      </c>
      <c r="N600" s="66">
        <f>N601</f>
        <v>38500</v>
      </c>
      <c r="O600" s="66">
        <f t="shared" si="123"/>
        <v>38500</v>
      </c>
      <c r="P600" s="63"/>
      <c r="Q600" s="68">
        <f t="shared" si="118"/>
        <v>0</v>
      </c>
      <c r="R600" s="68">
        <f t="shared" si="119"/>
        <v>38500</v>
      </c>
      <c r="S600" s="68">
        <f t="shared" si="120"/>
        <v>38500</v>
      </c>
    </row>
    <row r="601" spans="2:19" x14ac:dyDescent="0.2">
      <c r="B601" s="48">
        <f t="shared" si="121"/>
        <v>150</v>
      </c>
      <c r="C601" s="13"/>
      <c r="D601" s="13"/>
      <c r="E601" s="13"/>
      <c r="F601" s="188"/>
      <c r="G601" s="82"/>
      <c r="H601" s="13" t="s">
        <v>618</v>
      </c>
      <c r="I601" s="83"/>
      <c r="J601" s="83"/>
      <c r="K601" s="83">
        <f t="shared" si="122"/>
        <v>0</v>
      </c>
      <c r="L601" s="83"/>
      <c r="M601" s="83">
        <v>0</v>
      </c>
      <c r="N601" s="83">
        <v>38500</v>
      </c>
      <c r="O601" s="83">
        <f t="shared" si="123"/>
        <v>38500</v>
      </c>
      <c r="P601" s="84"/>
      <c r="Q601" s="85">
        <f t="shared" si="118"/>
        <v>0</v>
      </c>
      <c r="R601" s="85">
        <f t="shared" si="119"/>
        <v>38500</v>
      </c>
      <c r="S601" s="85">
        <f t="shared" si="120"/>
        <v>38500</v>
      </c>
    </row>
    <row r="602" spans="2:19" x14ac:dyDescent="0.2">
      <c r="B602" s="48">
        <f>B598+1</f>
        <v>148</v>
      </c>
      <c r="C602" s="184"/>
      <c r="D602" s="184"/>
      <c r="E602" s="184" t="s">
        <v>93</v>
      </c>
      <c r="F602" s="185"/>
      <c r="G602" s="185"/>
      <c r="H602" s="184" t="s">
        <v>94</v>
      </c>
      <c r="I602" s="186">
        <f>I603+I604+I605+I610</f>
        <v>167960</v>
      </c>
      <c r="J602" s="186">
        <f>J603+J604+J605+J610</f>
        <v>0</v>
      </c>
      <c r="K602" s="186">
        <f t="shared" si="122"/>
        <v>167960</v>
      </c>
      <c r="L602" s="62"/>
      <c r="M602" s="186"/>
      <c r="N602" s="186"/>
      <c r="O602" s="186">
        <f t="shared" si="123"/>
        <v>0</v>
      </c>
      <c r="P602" s="63"/>
      <c r="Q602" s="187">
        <f t="shared" si="118"/>
        <v>167960</v>
      </c>
      <c r="R602" s="187">
        <f t="shared" si="119"/>
        <v>0</v>
      </c>
      <c r="S602" s="187">
        <f t="shared" si="120"/>
        <v>167960</v>
      </c>
    </row>
    <row r="603" spans="2:19" x14ac:dyDescent="0.2">
      <c r="B603" s="48">
        <f t="shared" si="121"/>
        <v>149</v>
      </c>
      <c r="C603" s="9"/>
      <c r="D603" s="9"/>
      <c r="E603" s="9"/>
      <c r="F603" s="61" t="s">
        <v>188</v>
      </c>
      <c r="G603" s="8">
        <v>610</v>
      </c>
      <c r="H603" s="9" t="s">
        <v>132</v>
      </c>
      <c r="I603" s="62">
        <v>91392</v>
      </c>
      <c r="J603" s="62">
        <v>380</v>
      </c>
      <c r="K603" s="62">
        <f t="shared" si="122"/>
        <v>91772</v>
      </c>
      <c r="L603" s="62"/>
      <c r="M603" s="62"/>
      <c r="N603" s="62"/>
      <c r="O603" s="62">
        <f t="shared" si="123"/>
        <v>0</v>
      </c>
      <c r="P603" s="63"/>
      <c r="Q603" s="64">
        <f t="shared" si="118"/>
        <v>91392</v>
      </c>
      <c r="R603" s="64">
        <f t="shared" si="119"/>
        <v>380</v>
      </c>
      <c r="S603" s="64">
        <f t="shared" si="120"/>
        <v>91772</v>
      </c>
    </row>
    <row r="604" spans="2:19" x14ac:dyDescent="0.2">
      <c r="B604" s="48">
        <f t="shared" si="121"/>
        <v>150</v>
      </c>
      <c r="C604" s="9"/>
      <c r="D604" s="9"/>
      <c r="E604" s="9"/>
      <c r="F604" s="61" t="s">
        <v>188</v>
      </c>
      <c r="G604" s="8">
        <v>620</v>
      </c>
      <c r="H604" s="9" t="s">
        <v>125</v>
      </c>
      <c r="I604" s="62">
        <v>34740</v>
      </c>
      <c r="J604" s="62">
        <v>147</v>
      </c>
      <c r="K604" s="62">
        <f t="shared" si="122"/>
        <v>34887</v>
      </c>
      <c r="L604" s="62"/>
      <c r="M604" s="62"/>
      <c r="N604" s="62"/>
      <c r="O604" s="62">
        <f t="shared" si="123"/>
        <v>0</v>
      </c>
      <c r="P604" s="63"/>
      <c r="Q604" s="64">
        <f t="shared" si="118"/>
        <v>34740</v>
      </c>
      <c r="R604" s="64">
        <f t="shared" si="119"/>
        <v>147</v>
      </c>
      <c r="S604" s="64">
        <f t="shared" si="120"/>
        <v>34887</v>
      </c>
    </row>
    <row r="605" spans="2:19" x14ac:dyDescent="0.2">
      <c r="B605" s="48">
        <f t="shared" si="121"/>
        <v>151</v>
      </c>
      <c r="C605" s="9"/>
      <c r="D605" s="9"/>
      <c r="E605" s="9"/>
      <c r="F605" s="61" t="s">
        <v>188</v>
      </c>
      <c r="G605" s="8">
        <v>630</v>
      </c>
      <c r="H605" s="9" t="s">
        <v>122</v>
      </c>
      <c r="I605" s="62">
        <f>SUM(I606:I609)</f>
        <v>38903</v>
      </c>
      <c r="J605" s="62">
        <f>SUM(J606:J609)</f>
        <v>-527</v>
      </c>
      <c r="K605" s="62">
        <f t="shared" si="122"/>
        <v>38376</v>
      </c>
      <c r="L605" s="62"/>
      <c r="M605" s="62"/>
      <c r="N605" s="62"/>
      <c r="O605" s="62">
        <f t="shared" si="123"/>
        <v>0</v>
      </c>
      <c r="P605" s="63"/>
      <c r="Q605" s="64">
        <f t="shared" si="118"/>
        <v>38903</v>
      </c>
      <c r="R605" s="64">
        <f t="shared" si="119"/>
        <v>-527</v>
      </c>
      <c r="S605" s="64">
        <f t="shared" si="120"/>
        <v>38376</v>
      </c>
    </row>
    <row r="606" spans="2:19" x14ac:dyDescent="0.2">
      <c r="B606" s="48">
        <f t="shared" si="121"/>
        <v>152</v>
      </c>
      <c r="C606" s="11"/>
      <c r="D606" s="11"/>
      <c r="E606" s="11"/>
      <c r="F606" s="65"/>
      <c r="G606" s="10">
        <v>632</v>
      </c>
      <c r="H606" s="11" t="s">
        <v>135</v>
      </c>
      <c r="I606" s="66">
        <v>19815</v>
      </c>
      <c r="J606" s="66"/>
      <c r="K606" s="66">
        <f t="shared" si="122"/>
        <v>19815</v>
      </c>
      <c r="L606" s="66"/>
      <c r="M606" s="66"/>
      <c r="N606" s="66"/>
      <c r="O606" s="66">
        <f t="shared" si="123"/>
        <v>0</v>
      </c>
      <c r="P606" s="67"/>
      <c r="Q606" s="68">
        <f t="shared" si="118"/>
        <v>19815</v>
      </c>
      <c r="R606" s="68">
        <f t="shared" si="119"/>
        <v>0</v>
      </c>
      <c r="S606" s="68">
        <f t="shared" si="120"/>
        <v>19815</v>
      </c>
    </row>
    <row r="607" spans="2:19" x14ac:dyDescent="0.2">
      <c r="B607" s="48">
        <f t="shared" si="121"/>
        <v>153</v>
      </c>
      <c r="C607" s="11"/>
      <c r="D607" s="11"/>
      <c r="E607" s="11"/>
      <c r="F607" s="65"/>
      <c r="G607" s="10">
        <v>633</v>
      </c>
      <c r="H607" s="11" t="s">
        <v>126</v>
      </c>
      <c r="I607" s="66">
        <f>13655-2047</f>
        <v>11608</v>
      </c>
      <c r="J607" s="66">
        <v>-527</v>
      </c>
      <c r="K607" s="66">
        <f t="shared" si="122"/>
        <v>11081</v>
      </c>
      <c r="L607" s="66"/>
      <c r="M607" s="66"/>
      <c r="N607" s="66"/>
      <c r="O607" s="66">
        <f t="shared" si="123"/>
        <v>0</v>
      </c>
      <c r="P607" s="67"/>
      <c r="Q607" s="68">
        <f t="shared" si="118"/>
        <v>11608</v>
      </c>
      <c r="R607" s="68">
        <f t="shared" si="119"/>
        <v>-527</v>
      </c>
      <c r="S607" s="68">
        <f t="shared" si="120"/>
        <v>11081</v>
      </c>
    </row>
    <row r="608" spans="2:19" x14ac:dyDescent="0.2">
      <c r="B608" s="48">
        <f t="shared" si="121"/>
        <v>154</v>
      </c>
      <c r="C608" s="11"/>
      <c r="D608" s="11"/>
      <c r="E608" s="11"/>
      <c r="F608" s="65"/>
      <c r="G608" s="10">
        <v>635</v>
      </c>
      <c r="H608" s="11" t="s">
        <v>134</v>
      </c>
      <c r="I608" s="66">
        <v>3000</v>
      </c>
      <c r="J608" s="66"/>
      <c r="K608" s="66">
        <f t="shared" si="122"/>
        <v>3000</v>
      </c>
      <c r="L608" s="66"/>
      <c r="M608" s="66"/>
      <c r="N608" s="66"/>
      <c r="O608" s="66">
        <f t="shared" si="123"/>
        <v>0</v>
      </c>
      <c r="P608" s="67"/>
      <c r="Q608" s="68">
        <f t="shared" si="118"/>
        <v>3000</v>
      </c>
      <c r="R608" s="68">
        <f t="shared" si="119"/>
        <v>0</v>
      </c>
      <c r="S608" s="68">
        <f t="shared" si="120"/>
        <v>3000</v>
      </c>
    </row>
    <row r="609" spans="2:19" x14ac:dyDescent="0.2">
      <c r="B609" s="48">
        <f t="shared" si="121"/>
        <v>155</v>
      </c>
      <c r="C609" s="11"/>
      <c r="D609" s="11"/>
      <c r="E609" s="11"/>
      <c r="F609" s="65"/>
      <c r="G609" s="10">
        <v>637</v>
      </c>
      <c r="H609" s="11" t="s">
        <v>123</v>
      </c>
      <c r="I609" s="66">
        <v>4480</v>
      </c>
      <c r="J609" s="66"/>
      <c r="K609" s="66">
        <f t="shared" si="122"/>
        <v>4480</v>
      </c>
      <c r="L609" s="66"/>
      <c r="M609" s="66"/>
      <c r="N609" s="66"/>
      <c r="O609" s="66">
        <f t="shared" si="123"/>
        <v>0</v>
      </c>
      <c r="P609" s="67"/>
      <c r="Q609" s="68">
        <f t="shared" si="118"/>
        <v>4480</v>
      </c>
      <c r="R609" s="68">
        <f t="shared" si="119"/>
        <v>0</v>
      </c>
      <c r="S609" s="68">
        <f t="shared" si="120"/>
        <v>4480</v>
      </c>
    </row>
    <row r="610" spans="2:19" x14ac:dyDescent="0.2">
      <c r="B610" s="48">
        <f t="shared" si="121"/>
        <v>156</v>
      </c>
      <c r="C610" s="9"/>
      <c r="D610" s="9"/>
      <c r="E610" s="9"/>
      <c r="F610" s="61" t="s">
        <v>188</v>
      </c>
      <c r="G610" s="8">
        <v>640</v>
      </c>
      <c r="H610" s="9" t="s">
        <v>130</v>
      </c>
      <c r="I610" s="62">
        <v>2925</v>
      </c>
      <c r="J610" s="62"/>
      <c r="K610" s="62">
        <f t="shared" si="122"/>
        <v>2925</v>
      </c>
      <c r="L610" s="62"/>
      <c r="M610" s="62"/>
      <c r="N610" s="62"/>
      <c r="O610" s="62">
        <f t="shared" si="123"/>
        <v>0</v>
      </c>
      <c r="P610" s="63"/>
      <c r="Q610" s="64">
        <f t="shared" si="118"/>
        <v>2925</v>
      </c>
      <c r="R610" s="64">
        <f t="shared" si="119"/>
        <v>0</v>
      </c>
      <c r="S610" s="64">
        <f t="shared" si="120"/>
        <v>2925</v>
      </c>
    </row>
    <row r="611" spans="2:19" x14ac:dyDescent="0.2">
      <c r="B611" s="48">
        <f t="shared" si="121"/>
        <v>157</v>
      </c>
      <c r="C611" s="184"/>
      <c r="D611" s="184"/>
      <c r="E611" s="184" t="s">
        <v>88</v>
      </c>
      <c r="F611" s="185"/>
      <c r="G611" s="185"/>
      <c r="H611" s="184" t="s">
        <v>197</v>
      </c>
      <c r="I611" s="186">
        <f>I612+I613+I614+I619</f>
        <v>200586</v>
      </c>
      <c r="J611" s="186">
        <f>J612+J613+J614+J619</f>
        <v>-883</v>
      </c>
      <c r="K611" s="186">
        <f t="shared" si="122"/>
        <v>199703</v>
      </c>
      <c r="L611" s="62"/>
      <c r="M611" s="186"/>
      <c r="N611" s="186"/>
      <c r="O611" s="186">
        <f t="shared" si="123"/>
        <v>0</v>
      </c>
      <c r="P611" s="63"/>
      <c r="Q611" s="187">
        <f t="shared" si="118"/>
        <v>200586</v>
      </c>
      <c r="R611" s="187">
        <f t="shared" si="119"/>
        <v>-883</v>
      </c>
      <c r="S611" s="187">
        <f t="shared" si="120"/>
        <v>199703</v>
      </c>
    </row>
    <row r="612" spans="2:19" ht="15" customHeight="1" x14ac:dyDescent="0.2">
      <c r="B612" s="48">
        <f t="shared" si="121"/>
        <v>158</v>
      </c>
      <c r="C612" s="9"/>
      <c r="D612" s="9"/>
      <c r="E612" s="9"/>
      <c r="F612" s="61" t="s">
        <v>188</v>
      </c>
      <c r="G612" s="8">
        <v>610</v>
      </c>
      <c r="H612" s="9" t="s">
        <v>132</v>
      </c>
      <c r="I612" s="62">
        <v>108308</v>
      </c>
      <c r="J612" s="62">
        <v>595</v>
      </c>
      <c r="K612" s="62">
        <f t="shared" si="122"/>
        <v>108903</v>
      </c>
      <c r="L612" s="62"/>
      <c r="M612" s="62"/>
      <c r="N612" s="62"/>
      <c r="O612" s="62">
        <f t="shared" si="123"/>
        <v>0</v>
      </c>
      <c r="P612" s="63"/>
      <c r="Q612" s="64">
        <f t="shared" si="118"/>
        <v>108308</v>
      </c>
      <c r="R612" s="64">
        <f t="shared" si="119"/>
        <v>595</v>
      </c>
      <c r="S612" s="64">
        <f t="shared" si="120"/>
        <v>108903</v>
      </c>
    </row>
    <row r="613" spans="2:19" x14ac:dyDescent="0.2">
      <c r="B613" s="48">
        <f t="shared" si="121"/>
        <v>159</v>
      </c>
      <c r="C613" s="9"/>
      <c r="D613" s="9"/>
      <c r="E613" s="9"/>
      <c r="F613" s="61" t="s">
        <v>188</v>
      </c>
      <c r="G613" s="8">
        <v>620</v>
      </c>
      <c r="H613" s="9" t="s">
        <v>125</v>
      </c>
      <c r="I613" s="62">
        <v>40124</v>
      </c>
      <c r="J613" s="62">
        <v>234</v>
      </c>
      <c r="K613" s="62">
        <f t="shared" si="122"/>
        <v>40358</v>
      </c>
      <c r="L613" s="62"/>
      <c r="M613" s="62"/>
      <c r="N613" s="62"/>
      <c r="O613" s="62">
        <f t="shared" si="123"/>
        <v>0</v>
      </c>
      <c r="P613" s="63"/>
      <c r="Q613" s="64">
        <f t="shared" si="118"/>
        <v>40124</v>
      </c>
      <c r="R613" s="64">
        <f t="shared" si="119"/>
        <v>234</v>
      </c>
      <c r="S613" s="64">
        <f t="shared" si="120"/>
        <v>40358</v>
      </c>
    </row>
    <row r="614" spans="2:19" x14ac:dyDescent="0.2">
      <c r="B614" s="48">
        <f t="shared" si="121"/>
        <v>160</v>
      </c>
      <c r="C614" s="9"/>
      <c r="D614" s="9"/>
      <c r="E614" s="9"/>
      <c r="F614" s="61" t="s">
        <v>188</v>
      </c>
      <c r="G614" s="8">
        <v>630</v>
      </c>
      <c r="H614" s="9" t="s">
        <v>122</v>
      </c>
      <c r="I614" s="62">
        <f>SUM(I615:I618)</f>
        <v>51704</v>
      </c>
      <c r="J614" s="62">
        <f>SUM(J615:J618)</f>
        <v>-1712</v>
      </c>
      <c r="K614" s="62">
        <f t="shared" si="122"/>
        <v>49992</v>
      </c>
      <c r="L614" s="62"/>
      <c r="M614" s="62"/>
      <c r="N614" s="62"/>
      <c r="O614" s="62">
        <f t="shared" si="123"/>
        <v>0</v>
      </c>
      <c r="P614" s="63"/>
      <c r="Q614" s="64">
        <f t="shared" si="118"/>
        <v>51704</v>
      </c>
      <c r="R614" s="64">
        <f t="shared" si="119"/>
        <v>-1712</v>
      </c>
      <c r="S614" s="64">
        <f t="shared" si="120"/>
        <v>49992</v>
      </c>
    </row>
    <row r="615" spans="2:19" x14ac:dyDescent="0.2">
      <c r="B615" s="48">
        <f t="shared" si="121"/>
        <v>161</v>
      </c>
      <c r="C615" s="11"/>
      <c r="D615" s="11"/>
      <c r="E615" s="11"/>
      <c r="F615" s="65"/>
      <c r="G615" s="10">
        <v>632</v>
      </c>
      <c r="H615" s="11" t="s">
        <v>135</v>
      </c>
      <c r="I615" s="66">
        <v>28195</v>
      </c>
      <c r="J615" s="66"/>
      <c r="K615" s="66">
        <f t="shared" si="122"/>
        <v>28195</v>
      </c>
      <c r="L615" s="66"/>
      <c r="M615" s="66"/>
      <c r="N615" s="66"/>
      <c r="O615" s="66">
        <f t="shared" si="123"/>
        <v>0</v>
      </c>
      <c r="P615" s="67"/>
      <c r="Q615" s="68">
        <f t="shared" si="118"/>
        <v>28195</v>
      </c>
      <c r="R615" s="68">
        <f t="shared" si="119"/>
        <v>0</v>
      </c>
      <c r="S615" s="68">
        <f t="shared" si="120"/>
        <v>28195</v>
      </c>
    </row>
    <row r="616" spans="2:19" x14ac:dyDescent="0.2">
      <c r="B616" s="48">
        <f t="shared" si="121"/>
        <v>162</v>
      </c>
      <c r="C616" s="11"/>
      <c r="D616" s="11"/>
      <c r="E616" s="11"/>
      <c r="F616" s="65"/>
      <c r="G616" s="10">
        <v>633</v>
      </c>
      <c r="H616" s="11" t="s">
        <v>126</v>
      </c>
      <c r="I616" s="66">
        <f>19355-1721</f>
        <v>17634</v>
      </c>
      <c r="J616" s="66">
        <v>-1712</v>
      </c>
      <c r="K616" s="66">
        <f t="shared" si="122"/>
        <v>15922</v>
      </c>
      <c r="L616" s="66"/>
      <c r="M616" s="66"/>
      <c r="N616" s="66"/>
      <c r="O616" s="66">
        <f t="shared" si="123"/>
        <v>0</v>
      </c>
      <c r="P616" s="67"/>
      <c r="Q616" s="68">
        <f t="shared" si="118"/>
        <v>17634</v>
      </c>
      <c r="R616" s="68">
        <f t="shared" si="119"/>
        <v>-1712</v>
      </c>
      <c r="S616" s="68">
        <f t="shared" si="120"/>
        <v>15922</v>
      </c>
    </row>
    <row r="617" spans="2:19" x14ac:dyDescent="0.2">
      <c r="B617" s="48">
        <f t="shared" si="121"/>
        <v>163</v>
      </c>
      <c r="C617" s="11"/>
      <c r="D617" s="11"/>
      <c r="E617" s="11"/>
      <c r="F617" s="65"/>
      <c r="G617" s="10">
        <v>635</v>
      </c>
      <c r="H617" s="11" t="s">
        <v>134</v>
      </c>
      <c r="I617" s="66">
        <f>2000-1000</f>
        <v>1000</v>
      </c>
      <c r="J617" s="66"/>
      <c r="K617" s="66">
        <f t="shared" si="122"/>
        <v>1000</v>
      </c>
      <c r="L617" s="66"/>
      <c r="M617" s="66"/>
      <c r="N617" s="66"/>
      <c r="O617" s="66">
        <f t="shared" si="123"/>
        <v>0</v>
      </c>
      <c r="P617" s="67"/>
      <c r="Q617" s="68">
        <f t="shared" si="118"/>
        <v>1000</v>
      </c>
      <c r="R617" s="68">
        <f t="shared" si="119"/>
        <v>0</v>
      </c>
      <c r="S617" s="68">
        <f t="shared" si="120"/>
        <v>1000</v>
      </c>
    </row>
    <row r="618" spans="2:19" x14ac:dyDescent="0.2">
      <c r="B618" s="48">
        <f t="shared" si="121"/>
        <v>164</v>
      </c>
      <c r="C618" s="11"/>
      <c r="D618" s="11"/>
      <c r="E618" s="11"/>
      <c r="F618" s="65"/>
      <c r="G618" s="10">
        <v>637</v>
      </c>
      <c r="H618" s="11" t="s">
        <v>123</v>
      </c>
      <c r="I618" s="66">
        <v>4875</v>
      </c>
      <c r="J618" s="66"/>
      <c r="K618" s="66">
        <f t="shared" si="122"/>
        <v>4875</v>
      </c>
      <c r="L618" s="66"/>
      <c r="M618" s="66"/>
      <c r="N618" s="66"/>
      <c r="O618" s="66">
        <f t="shared" si="123"/>
        <v>0</v>
      </c>
      <c r="P618" s="67"/>
      <c r="Q618" s="68">
        <f t="shared" si="118"/>
        <v>4875</v>
      </c>
      <c r="R618" s="68">
        <f t="shared" si="119"/>
        <v>0</v>
      </c>
      <c r="S618" s="68">
        <f t="shared" si="120"/>
        <v>4875</v>
      </c>
    </row>
    <row r="619" spans="2:19" x14ac:dyDescent="0.2">
      <c r="B619" s="48">
        <f t="shared" si="121"/>
        <v>165</v>
      </c>
      <c r="C619" s="9"/>
      <c r="D619" s="9"/>
      <c r="E619" s="9"/>
      <c r="F619" s="61" t="s">
        <v>188</v>
      </c>
      <c r="G619" s="8">
        <v>640</v>
      </c>
      <c r="H619" s="9" t="s">
        <v>130</v>
      </c>
      <c r="I619" s="62">
        <v>450</v>
      </c>
      <c r="J619" s="62"/>
      <c r="K619" s="62">
        <f t="shared" si="122"/>
        <v>450</v>
      </c>
      <c r="L619" s="62"/>
      <c r="M619" s="62"/>
      <c r="N619" s="62"/>
      <c r="O619" s="62">
        <f t="shared" si="123"/>
        <v>0</v>
      </c>
      <c r="P619" s="63"/>
      <c r="Q619" s="64">
        <f t="shared" si="118"/>
        <v>450</v>
      </c>
      <c r="R619" s="64">
        <f t="shared" si="119"/>
        <v>0</v>
      </c>
      <c r="S619" s="64">
        <f t="shared" si="120"/>
        <v>450</v>
      </c>
    </row>
    <row r="620" spans="2:19" x14ac:dyDescent="0.2">
      <c r="B620" s="48">
        <f t="shared" si="121"/>
        <v>166</v>
      </c>
      <c r="C620" s="184"/>
      <c r="D620" s="184"/>
      <c r="E620" s="184" t="s">
        <v>104</v>
      </c>
      <c r="F620" s="185"/>
      <c r="G620" s="185"/>
      <c r="H620" s="184" t="s">
        <v>68</v>
      </c>
      <c r="I620" s="186">
        <f>I621+I622+I623+I629</f>
        <v>223950</v>
      </c>
      <c r="J620" s="186">
        <f>J621+J622+J623+J629</f>
        <v>-884</v>
      </c>
      <c r="K620" s="186">
        <f t="shared" si="122"/>
        <v>223066</v>
      </c>
      <c r="L620" s="62"/>
      <c r="M620" s="186"/>
      <c r="N620" s="186"/>
      <c r="O620" s="186">
        <f t="shared" si="123"/>
        <v>0</v>
      </c>
      <c r="P620" s="63"/>
      <c r="Q620" s="187">
        <f t="shared" si="118"/>
        <v>223950</v>
      </c>
      <c r="R620" s="187">
        <f t="shared" si="119"/>
        <v>-884</v>
      </c>
      <c r="S620" s="187">
        <f t="shared" si="120"/>
        <v>223066</v>
      </c>
    </row>
    <row r="621" spans="2:19" x14ac:dyDescent="0.2">
      <c r="B621" s="48">
        <f t="shared" si="121"/>
        <v>167</v>
      </c>
      <c r="C621" s="9"/>
      <c r="D621" s="9"/>
      <c r="E621" s="9"/>
      <c r="F621" s="61" t="s">
        <v>188</v>
      </c>
      <c r="G621" s="8">
        <v>610</v>
      </c>
      <c r="H621" s="9" t="s">
        <v>132</v>
      </c>
      <c r="I621" s="62">
        <v>123403</v>
      </c>
      <c r="J621" s="62">
        <v>388</v>
      </c>
      <c r="K621" s="62">
        <f t="shared" si="122"/>
        <v>123791</v>
      </c>
      <c r="L621" s="62"/>
      <c r="M621" s="62"/>
      <c r="N621" s="62"/>
      <c r="O621" s="62">
        <f t="shared" si="123"/>
        <v>0</v>
      </c>
      <c r="P621" s="63"/>
      <c r="Q621" s="64">
        <f t="shared" si="118"/>
        <v>123403</v>
      </c>
      <c r="R621" s="64">
        <f t="shared" si="119"/>
        <v>388</v>
      </c>
      <c r="S621" s="64">
        <f t="shared" si="120"/>
        <v>123791</v>
      </c>
    </row>
    <row r="622" spans="2:19" x14ac:dyDescent="0.2">
      <c r="B622" s="48">
        <f t="shared" si="121"/>
        <v>168</v>
      </c>
      <c r="C622" s="9"/>
      <c r="D622" s="9"/>
      <c r="E622" s="9"/>
      <c r="F622" s="61" t="s">
        <v>188</v>
      </c>
      <c r="G622" s="8">
        <v>620</v>
      </c>
      <c r="H622" s="9" t="s">
        <v>125</v>
      </c>
      <c r="I622" s="62">
        <v>46883</v>
      </c>
      <c r="J622" s="62">
        <v>154</v>
      </c>
      <c r="K622" s="62">
        <f t="shared" si="122"/>
        <v>47037</v>
      </c>
      <c r="L622" s="62"/>
      <c r="M622" s="62"/>
      <c r="N622" s="62"/>
      <c r="O622" s="62">
        <f t="shared" si="123"/>
        <v>0</v>
      </c>
      <c r="P622" s="63"/>
      <c r="Q622" s="64">
        <f t="shared" si="118"/>
        <v>46883</v>
      </c>
      <c r="R622" s="64">
        <f t="shared" si="119"/>
        <v>154</v>
      </c>
      <c r="S622" s="64">
        <f t="shared" si="120"/>
        <v>47037</v>
      </c>
    </row>
    <row r="623" spans="2:19" x14ac:dyDescent="0.2">
      <c r="B623" s="48">
        <f t="shared" si="121"/>
        <v>169</v>
      </c>
      <c r="C623" s="9"/>
      <c r="D623" s="9"/>
      <c r="E623" s="9"/>
      <c r="F623" s="61" t="s">
        <v>188</v>
      </c>
      <c r="G623" s="8">
        <v>630</v>
      </c>
      <c r="H623" s="9" t="s">
        <v>122</v>
      </c>
      <c r="I623" s="62">
        <f>SUM(I624:I628)</f>
        <v>49838</v>
      </c>
      <c r="J623" s="62">
        <f>SUM(J624:J628)</f>
        <v>-1426</v>
      </c>
      <c r="K623" s="62">
        <f t="shared" si="122"/>
        <v>48412</v>
      </c>
      <c r="L623" s="62"/>
      <c r="M623" s="62"/>
      <c r="N623" s="62"/>
      <c r="O623" s="62">
        <f t="shared" si="123"/>
        <v>0</v>
      </c>
      <c r="P623" s="63"/>
      <c r="Q623" s="64">
        <f t="shared" si="118"/>
        <v>49838</v>
      </c>
      <c r="R623" s="64">
        <f t="shared" si="119"/>
        <v>-1426</v>
      </c>
      <c r="S623" s="64">
        <f t="shared" si="120"/>
        <v>48412</v>
      </c>
    </row>
    <row r="624" spans="2:19" x14ac:dyDescent="0.2">
      <c r="B624" s="48">
        <f t="shared" si="121"/>
        <v>170</v>
      </c>
      <c r="C624" s="11"/>
      <c r="D624" s="11"/>
      <c r="E624" s="11"/>
      <c r="F624" s="65"/>
      <c r="G624" s="10">
        <v>632</v>
      </c>
      <c r="H624" s="11" t="s">
        <v>135</v>
      </c>
      <c r="I624" s="66">
        <v>650</v>
      </c>
      <c r="J624" s="66"/>
      <c r="K624" s="66">
        <f t="shared" si="122"/>
        <v>650</v>
      </c>
      <c r="L624" s="66"/>
      <c r="M624" s="66"/>
      <c r="N624" s="66"/>
      <c r="O624" s="66">
        <f t="shared" si="123"/>
        <v>0</v>
      </c>
      <c r="P624" s="67"/>
      <c r="Q624" s="68">
        <f t="shared" si="118"/>
        <v>650</v>
      </c>
      <c r="R624" s="68">
        <f t="shared" si="119"/>
        <v>0</v>
      </c>
      <c r="S624" s="68">
        <f t="shared" si="120"/>
        <v>650</v>
      </c>
    </row>
    <row r="625" spans="2:19" x14ac:dyDescent="0.2">
      <c r="B625" s="48">
        <f t="shared" si="121"/>
        <v>171</v>
      </c>
      <c r="C625" s="11"/>
      <c r="D625" s="11"/>
      <c r="E625" s="11"/>
      <c r="F625" s="65"/>
      <c r="G625" s="10">
        <v>633</v>
      </c>
      <c r="H625" s="11" t="s">
        <v>126</v>
      </c>
      <c r="I625" s="66">
        <f>16456-2623</f>
        <v>13833</v>
      </c>
      <c r="J625" s="66">
        <v>-1426</v>
      </c>
      <c r="K625" s="66">
        <f t="shared" si="122"/>
        <v>12407</v>
      </c>
      <c r="L625" s="66"/>
      <c r="M625" s="66"/>
      <c r="N625" s="66"/>
      <c r="O625" s="66">
        <f t="shared" si="123"/>
        <v>0</v>
      </c>
      <c r="P625" s="67"/>
      <c r="Q625" s="68">
        <f t="shared" si="118"/>
        <v>13833</v>
      </c>
      <c r="R625" s="68">
        <f t="shared" si="119"/>
        <v>-1426</v>
      </c>
      <c r="S625" s="68">
        <f t="shared" si="120"/>
        <v>12407</v>
      </c>
    </row>
    <row r="626" spans="2:19" x14ac:dyDescent="0.2">
      <c r="B626" s="48">
        <f t="shared" si="121"/>
        <v>172</v>
      </c>
      <c r="C626" s="11"/>
      <c r="D626" s="11"/>
      <c r="E626" s="11"/>
      <c r="F626" s="65"/>
      <c r="G626" s="10">
        <v>635</v>
      </c>
      <c r="H626" s="11" t="s">
        <v>134</v>
      </c>
      <c r="I626" s="66">
        <v>1700</v>
      </c>
      <c r="J626" s="66"/>
      <c r="K626" s="66">
        <f t="shared" si="122"/>
        <v>1700</v>
      </c>
      <c r="L626" s="66"/>
      <c r="M626" s="66"/>
      <c r="N626" s="66"/>
      <c r="O626" s="66">
        <f t="shared" si="123"/>
        <v>0</v>
      </c>
      <c r="P626" s="67"/>
      <c r="Q626" s="68">
        <f t="shared" si="118"/>
        <v>1700</v>
      </c>
      <c r="R626" s="68">
        <f t="shared" si="119"/>
        <v>0</v>
      </c>
      <c r="S626" s="68">
        <f t="shared" si="120"/>
        <v>1700</v>
      </c>
    </row>
    <row r="627" spans="2:19" x14ac:dyDescent="0.2">
      <c r="B627" s="48">
        <f t="shared" si="121"/>
        <v>173</v>
      </c>
      <c r="C627" s="11"/>
      <c r="D627" s="11"/>
      <c r="E627" s="11"/>
      <c r="F627" s="65"/>
      <c r="G627" s="10">
        <v>636</v>
      </c>
      <c r="H627" s="11" t="s">
        <v>127</v>
      </c>
      <c r="I627" s="66">
        <v>28000</v>
      </c>
      <c r="J627" s="66"/>
      <c r="K627" s="66">
        <f t="shared" si="122"/>
        <v>28000</v>
      </c>
      <c r="L627" s="66"/>
      <c r="M627" s="66"/>
      <c r="N627" s="66"/>
      <c r="O627" s="66">
        <f t="shared" si="123"/>
        <v>0</v>
      </c>
      <c r="P627" s="67"/>
      <c r="Q627" s="68">
        <f t="shared" si="118"/>
        <v>28000</v>
      </c>
      <c r="R627" s="68">
        <f t="shared" si="119"/>
        <v>0</v>
      </c>
      <c r="S627" s="68">
        <f t="shared" si="120"/>
        <v>28000</v>
      </c>
    </row>
    <row r="628" spans="2:19" x14ac:dyDescent="0.2">
      <c r="B628" s="48">
        <f t="shared" si="121"/>
        <v>174</v>
      </c>
      <c r="C628" s="11"/>
      <c r="D628" s="11"/>
      <c r="E628" s="11"/>
      <c r="F628" s="65"/>
      <c r="G628" s="10">
        <v>637</v>
      </c>
      <c r="H628" s="11" t="s">
        <v>123</v>
      </c>
      <c r="I628" s="66">
        <v>5655</v>
      </c>
      <c r="J628" s="66"/>
      <c r="K628" s="66">
        <f t="shared" si="122"/>
        <v>5655</v>
      </c>
      <c r="L628" s="66"/>
      <c r="M628" s="66"/>
      <c r="N628" s="66"/>
      <c r="O628" s="66">
        <f t="shared" si="123"/>
        <v>0</v>
      </c>
      <c r="P628" s="67"/>
      <c r="Q628" s="68">
        <f t="shared" si="118"/>
        <v>5655</v>
      </c>
      <c r="R628" s="68">
        <f t="shared" si="119"/>
        <v>0</v>
      </c>
      <c r="S628" s="68">
        <f t="shared" si="120"/>
        <v>5655</v>
      </c>
    </row>
    <row r="629" spans="2:19" x14ac:dyDescent="0.2">
      <c r="B629" s="48">
        <f t="shared" si="121"/>
        <v>175</v>
      </c>
      <c r="C629" s="9"/>
      <c r="D629" s="9"/>
      <c r="E629" s="9"/>
      <c r="F629" s="61" t="s">
        <v>188</v>
      </c>
      <c r="G629" s="8">
        <v>640</v>
      </c>
      <c r="H629" s="9" t="s">
        <v>130</v>
      </c>
      <c r="I629" s="62">
        <v>3826</v>
      </c>
      <c r="J629" s="62"/>
      <c r="K629" s="62">
        <f t="shared" si="122"/>
        <v>3826</v>
      </c>
      <c r="L629" s="62"/>
      <c r="M629" s="62"/>
      <c r="N629" s="62"/>
      <c r="O629" s="62">
        <f t="shared" si="123"/>
        <v>0</v>
      </c>
      <c r="P629" s="63"/>
      <c r="Q629" s="64">
        <f t="shared" si="118"/>
        <v>3826</v>
      </c>
      <c r="R629" s="64">
        <f t="shared" si="119"/>
        <v>0</v>
      </c>
      <c r="S629" s="64">
        <f t="shared" si="120"/>
        <v>3826</v>
      </c>
    </row>
    <row r="630" spans="2:19" x14ac:dyDescent="0.2">
      <c r="B630" s="48">
        <f t="shared" si="121"/>
        <v>176</v>
      </c>
      <c r="C630" s="184"/>
      <c r="D630" s="184"/>
      <c r="E630" s="184" t="s">
        <v>105</v>
      </c>
      <c r="F630" s="185"/>
      <c r="G630" s="185"/>
      <c r="H630" s="184" t="s">
        <v>106</v>
      </c>
      <c r="I630" s="186">
        <f>I631+I632+I633+I639</f>
        <v>635361</v>
      </c>
      <c r="J630" s="186">
        <f>J631+J632+J633+J639</f>
        <v>-11491</v>
      </c>
      <c r="K630" s="186">
        <f t="shared" si="122"/>
        <v>623870</v>
      </c>
      <c r="L630" s="62"/>
      <c r="M630" s="186">
        <f>M640</f>
        <v>22000</v>
      </c>
      <c r="N630" s="186">
        <f>N640</f>
        <v>0</v>
      </c>
      <c r="O630" s="186">
        <f t="shared" si="123"/>
        <v>22000</v>
      </c>
      <c r="P630" s="63"/>
      <c r="Q630" s="187">
        <f t="shared" si="118"/>
        <v>657361</v>
      </c>
      <c r="R630" s="187">
        <f t="shared" si="119"/>
        <v>-11491</v>
      </c>
      <c r="S630" s="187">
        <f t="shared" si="120"/>
        <v>645870</v>
      </c>
    </row>
    <row r="631" spans="2:19" x14ac:dyDescent="0.2">
      <c r="B631" s="48">
        <f t="shared" si="121"/>
        <v>177</v>
      </c>
      <c r="C631" s="9"/>
      <c r="D631" s="9"/>
      <c r="E631" s="9"/>
      <c r="F631" s="61" t="s">
        <v>188</v>
      </c>
      <c r="G631" s="8">
        <v>610</v>
      </c>
      <c r="H631" s="9" t="s">
        <v>132</v>
      </c>
      <c r="I631" s="62">
        <f>358620+100</f>
        <v>358720</v>
      </c>
      <c r="J631" s="62">
        <v>208</v>
      </c>
      <c r="K631" s="62">
        <f t="shared" si="122"/>
        <v>358928</v>
      </c>
      <c r="L631" s="62"/>
      <c r="M631" s="62"/>
      <c r="N631" s="62"/>
      <c r="O631" s="62">
        <f t="shared" si="123"/>
        <v>0</v>
      </c>
      <c r="P631" s="63"/>
      <c r="Q631" s="64">
        <f t="shared" si="118"/>
        <v>358720</v>
      </c>
      <c r="R631" s="64">
        <f t="shared" si="119"/>
        <v>208</v>
      </c>
      <c r="S631" s="64">
        <f t="shared" si="120"/>
        <v>358928</v>
      </c>
    </row>
    <row r="632" spans="2:19" x14ac:dyDescent="0.2">
      <c r="B632" s="48">
        <f t="shared" si="121"/>
        <v>178</v>
      </c>
      <c r="C632" s="9"/>
      <c r="D632" s="9"/>
      <c r="E632" s="9"/>
      <c r="F632" s="61" t="s">
        <v>188</v>
      </c>
      <c r="G632" s="8">
        <v>620</v>
      </c>
      <c r="H632" s="9" t="s">
        <v>125</v>
      </c>
      <c r="I632" s="62">
        <f>132613+35</f>
        <v>132648</v>
      </c>
      <c r="J632" s="62">
        <v>126</v>
      </c>
      <c r="K632" s="62">
        <f t="shared" si="122"/>
        <v>132774</v>
      </c>
      <c r="L632" s="62"/>
      <c r="M632" s="62"/>
      <c r="N632" s="62"/>
      <c r="O632" s="62">
        <f t="shared" si="123"/>
        <v>0</v>
      </c>
      <c r="P632" s="63"/>
      <c r="Q632" s="64">
        <f t="shared" si="118"/>
        <v>132648</v>
      </c>
      <c r="R632" s="64">
        <f t="shared" si="119"/>
        <v>126</v>
      </c>
      <c r="S632" s="64">
        <f t="shared" si="120"/>
        <v>132774</v>
      </c>
    </row>
    <row r="633" spans="2:19" x14ac:dyDescent="0.2">
      <c r="B633" s="48">
        <f t="shared" si="121"/>
        <v>179</v>
      </c>
      <c r="C633" s="9"/>
      <c r="D633" s="9"/>
      <c r="E633" s="9"/>
      <c r="F633" s="61" t="s">
        <v>188</v>
      </c>
      <c r="G633" s="8">
        <v>630</v>
      </c>
      <c r="H633" s="9" t="s">
        <v>122</v>
      </c>
      <c r="I633" s="62">
        <f>SUM(I634:I638)</f>
        <v>143543</v>
      </c>
      <c r="J633" s="62">
        <f>SUM(J634:J638)</f>
        <v>-11825</v>
      </c>
      <c r="K633" s="62">
        <f t="shared" si="122"/>
        <v>131718</v>
      </c>
      <c r="L633" s="62"/>
      <c r="M633" s="62"/>
      <c r="N633" s="62"/>
      <c r="O633" s="62">
        <f t="shared" si="123"/>
        <v>0</v>
      </c>
      <c r="P633" s="63"/>
      <c r="Q633" s="64">
        <f t="shared" si="118"/>
        <v>143543</v>
      </c>
      <c r="R633" s="64">
        <f t="shared" si="119"/>
        <v>-11825</v>
      </c>
      <c r="S633" s="64">
        <f t="shared" si="120"/>
        <v>131718</v>
      </c>
    </row>
    <row r="634" spans="2:19" x14ac:dyDescent="0.2">
      <c r="B634" s="48">
        <f t="shared" si="121"/>
        <v>180</v>
      </c>
      <c r="C634" s="11"/>
      <c r="D634" s="11"/>
      <c r="E634" s="11"/>
      <c r="F634" s="65"/>
      <c r="G634" s="10">
        <v>632</v>
      </c>
      <c r="H634" s="11" t="s">
        <v>135</v>
      </c>
      <c r="I634" s="66">
        <v>44595</v>
      </c>
      <c r="J634" s="66"/>
      <c r="K634" s="66">
        <f t="shared" si="122"/>
        <v>44595</v>
      </c>
      <c r="L634" s="66"/>
      <c r="M634" s="66"/>
      <c r="N634" s="66"/>
      <c r="O634" s="66">
        <f t="shared" si="123"/>
        <v>0</v>
      </c>
      <c r="P634" s="67"/>
      <c r="Q634" s="68">
        <f t="shared" si="118"/>
        <v>44595</v>
      </c>
      <c r="R634" s="68">
        <f t="shared" si="119"/>
        <v>0</v>
      </c>
      <c r="S634" s="68">
        <f t="shared" si="120"/>
        <v>44595</v>
      </c>
    </row>
    <row r="635" spans="2:19" x14ac:dyDescent="0.2">
      <c r="B635" s="48">
        <f t="shared" si="121"/>
        <v>181</v>
      </c>
      <c r="C635" s="11"/>
      <c r="D635" s="11"/>
      <c r="E635" s="11"/>
      <c r="F635" s="65"/>
      <c r="G635" s="10">
        <v>633</v>
      </c>
      <c r="H635" s="11" t="s">
        <v>126</v>
      </c>
      <c r="I635" s="66">
        <f>60306-3923</f>
        <v>56383</v>
      </c>
      <c r="J635" s="66">
        <v>-11825</v>
      </c>
      <c r="K635" s="66">
        <f t="shared" si="122"/>
        <v>44558</v>
      </c>
      <c r="L635" s="66"/>
      <c r="M635" s="66"/>
      <c r="N635" s="66"/>
      <c r="O635" s="66">
        <f t="shared" si="123"/>
        <v>0</v>
      </c>
      <c r="P635" s="67"/>
      <c r="Q635" s="68">
        <f t="shared" si="118"/>
        <v>56383</v>
      </c>
      <c r="R635" s="68">
        <f t="shared" si="119"/>
        <v>-11825</v>
      </c>
      <c r="S635" s="68">
        <f t="shared" si="120"/>
        <v>44558</v>
      </c>
    </row>
    <row r="636" spans="2:19" x14ac:dyDescent="0.2">
      <c r="B636" s="48">
        <f t="shared" si="121"/>
        <v>182</v>
      </c>
      <c r="C636" s="11"/>
      <c r="D636" s="11"/>
      <c r="E636" s="11"/>
      <c r="F636" s="65"/>
      <c r="G636" s="10">
        <v>635</v>
      </c>
      <c r="H636" s="11" t="s">
        <v>134</v>
      </c>
      <c r="I636" s="66">
        <f>16300-4000</f>
        <v>12300</v>
      </c>
      <c r="J636" s="66"/>
      <c r="K636" s="66">
        <f t="shared" si="122"/>
        <v>12300</v>
      </c>
      <c r="L636" s="66"/>
      <c r="M636" s="66"/>
      <c r="N636" s="66"/>
      <c r="O636" s="66">
        <f t="shared" si="123"/>
        <v>0</v>
      </c>
      <c r="P636" s="67"/>
      <c r="Q636" s="68">
        <f t="shared" si="118"/>
        <v>12300</v>
      </c>
      <c r="R636" s="68">
        <f t="shared" si="119"/>
        <v>0</v>
      </c>
      <c r="S636" s="68">
        <f t="shared" si="120"/>
        <v>12300</v>
      </c>
    </row>
    <row r="637" spans="2:19" x14ac:dyDescent="0.2">
      <c r="B637" s="48">
        <f t="shared" si="121"/>
        <v>183</v>
      </c>
      <c r="C637" s="11"/>
      <c r="D637" s="11"/>
      <c r="E637" s="11"/>
      <c r="F637" s="65"/>
      <c r="G637" s="10">
        <v>636</v>
      </c>
      <c r="H637" s="11" t="s">
        <v>127</v>
      </c>
      <c r="I637" s="66">
        <v>10000</v>
      </c>
      <c r="J637" s="66"/>
      <c r="K637" s="66">
        <f t="shared" si="122"/>
        <v>10000</v>
      </c>
      <c r="L637" s="66"/>
      <c r="M637" s="66"/>
      <c r="N637" s="66"/>
      <c r="O637" s="66">
        <f t="shared" si="123"/>
        <v>0</v>
      </c>
      <c r="P637" s="67"/>
      <c r="Q637" s="68">
        <f t="shared" si="118"/>
        <v>10000</v>
      </c>
      <c r="R637" s="68">
        <f t="shared" si="119"/>
        <v>0</v>
      </c>
      <c r="S637" s="68">
        <f t="shared" si="120"/>
        <v>10000</v>
      </c>
    </row>
    <row r="638" spans="2:19" x14ac:dyDescent="0.2">
      <c r="B638" s="48">
        <f t="shared" si="121"/>
        <v>184</v>
      </c>
      <c r="C638" s="11"/>
      <c r="D638" s="11"/>
      <c r="E638" s="11"/>
      <c r="F638" s="65"/>
      <c r="G638" s="10">
        <v>637</v>
      </c>
      <c r="H638" s="11" t="s">
        <v>123</v>
      </c>
      <c r="I638" s="66">
        <v>20265</v>
      </c>
      <c r="J638" s="66"/>
      <c r="K638" s="66">
        <f t="shared" si="122"/>
        <v>20265</v>
      </c>
      <c r="L638" s="66"/>
      <c r="M638" s="66"/>
      <c r="N638" s="66"/>
      <c r="O638" s="66">
        <f t="shared" si="123"/>
        <v>0</v>
      </c>
      <c r="P638" s="67"/>
      <c r="Q638" s="68">
        <f t="shared" si="118"/>
        <v>20265</v>
      </c>
      <c r="R638" s="68">
        <f t="shared" si="119"/>
        <v>0</v>
      </c>
      <c r="S638" s="68">
        <f t="shared" si="120"/>
        <v>20265</v>
      </c>
    </row>
    <row r="639" spans="2:19" x14ac:dyDescent="0.2">
      <c r="B639" s="48">
        <f t="shared" si="121"/>
        <v>185</v>
      </c>
      <c r="C639" s="9"/>
      <c r="D639" s="9"/>
      <c r="E639" s="9"/>
      <c r="F639" s="61" t="s">
        <v>188</v>
      </c>
      <c r="G639" s="8">
        <v>640</v>
      </c>
      <c r="H639" s="9" t="s">
        <v>130</v>
      </c>
      <c r="I639" s="62">
        <v>450</v>
      </c>
      <c r="J639" s="62"/>
      <c r="K639" s="62">
        <f t="shared" si="122"/>
        <v>450</v>
      </c>
      <c r="L639" s="62"/>
      <c r="M639" s="62"/>
      <c r="N639" s="62"/>
      <c r="O639" s="62">
        <f t="shared" si="123"/>
        <v>0</v>
      </c>
      <c r="P639" s="63"/>
      <c r="Q639" s="64">
        <f t="shared" si="118"/>
        <v>450</v>
      </c>
      <c r="R639" s="64">
        <f t="shared" si="119"/>
        <v>0</v>
      </c>
      <c r="S639" s="64">
        <f t="shared" si="120"/>
        <v>450</v>
      </c>
    </row>
    <row r="640" spans="2:19" x14ac:dyDescent="0.2">
      <c r="B640" s="48">
        <f t="shared" si="121"/>
        <v>186</v>
      </c>
      <c r="C640" s="9"/>
      <c r="D640" s="9"/>
      <c r="E640" s="9"/>
      <c r="F640" s="61" t="s">
        <v>188</v>
      </c>
      <c r="G640" s="8">
        <v>710</v>
      </c>
      <c r="H640" s="9" t="s">
        <v>176</v>
      </c>
      <c r="I640" s="62"/>
      <c r="J640" s="62"/>
      <c r="K640" s="62">
        <f t="shared" si="122"/>
        <v>0</v>
      </c>
      <c r="L640" s="62"/>
      <c r="M640" s="62">
        <f>M641</f>
        <v>22000</v>
      </c>
      <c r="N640" s="62">
        <f>N641</f>
        <v>0</v>
      </c>
      <c r="O640" s="62">
        <f t="shared" si="123"/>
        <v>22000</v>
      </c>
      <c r="P640" s="63"/>
      <c r="Q640" s="64">
        <f t="shared" si="118"/>
        <v>22000</v>
      </c>
      <c r="R640" s="64">
        <f t="shared" si="119"/>
        <v>0</v>
      </c>
      <c r="S640" s="64">
        <f t="shared" si="120"/>
        <v>22000</v>
      </c>
    </row>
    <row r="641" spans="2:19" x14ac:dyDescent="0.2">
      <c r="B641" s="48">
        <f t="shared" si="121"/>
        <v>187</v>
      </c>
      <c r="C641" s="11"/>
      <c r="D641" s="11"/>
      <c r="E641" s="11"/>
      <c r="F641" s="65"/>
      <c r="G641" s="10">
        <v>717</v>
      </c>
      <c r="H641" s="11" t="s">
        <v>183</v>
      </c>
      <c r="I641" s="66"/>
      <c r="J641" s="66"/>
      <c r="K641" s="66">
        <f t="shared" si="122"/>
        <v>0</v>
      </c>
      <c r="L641" s="66"/>
      <c r="M641" s="66">
        <f>M642</f>
        <v>22000</v>
      </c>
      <c r="N641" s="66">
        <f>N642</f>
        <v>0</v>
      </c>
      <c r="O641" s="66">
        <f t="shared" si="123"/>
        <v>22000</v>
      </c>
      <c r="P641" s="67"/>
      <c r="Q641" s="68">
        <f t="shared" si="118"/>
        <v>22000</v>
      </c>
      <c r="R641" s="68">
        <f t="shared" si="119"/>
        <v>0</v>
      </c>
      <c r="S641" s="68">
        <f t="shared" si="120"/>
        <v>22000</v>
      </c>
    </row>
    <row r="642" spans="2:19" x14ac:dyDescent="0.2">
      <c r="B642" s="48">
        <f t="shared" si="121"/>
        <v>188</v>
      </c>
      <c r="C642" s="11"/>
      <c r="D642" s="11"/>
      <c r="E642" s="11"/>
      <c r="F642" s="65"/>
      <c r="G642" s="10"/>
      <c r="H642" s="13" t="s">
        <v>351</v>
      </c>
      <c r="I642" s="66"/>
      <c r="J642" s="66"/>
      <c r="K642" s="66">
        <f t="shared" si="122"/>
        <v>0</v>
      </c>
      <c r="L642" s="66"/>
      <c r="M642" s="83">
        <f>1000+21000</f>
        <v>22000</v>
      </c>
      <c r="N642" s="83"/>
      <c r="O642" s="83">
        <f t="shared" si="123"/>
        <v>22000</v>
      </c>
      <c r="P642" s="67"/>
      <c r="Q642" s="68">
        <f t="shared" si="118"/>
        <v>22000</v>
      </c>
      <c r="R642" s="68">
        <f t="shared" si="119"/>
        <v>0</v>
      </c>
      <c r="S642" s="68">
        <f t="shared" si="120"/>
        <v>22000</v>
      </c>
    </row>
    <row r="643" spans="2:19" ht="15" x14ac:dyDescent="0.2">
      <c r="B643" s="48">
        <f t="shared" si="121"/>
        <v>189</v>
      </c>
      <c r="C643" s="51">
        <v>2</v>
      </c>
      <c r="D643" s="435" t="s">
        <v>182</v>
      </c>
      <c r="E643" s="436"/>
      <c r="F643" s="436"/>
      <c r="G643" s="436"/>
      <c r="H643" s="436"/>
      <c r="I643" s="52">
        <f>I644+I650+I678+I701+I726+I755+I779+I808+I834</f>
        <v>15455228</v>
      </c>
      <c r="J643" s="52">
        <f>J644+J650+J678+J701+J726+J755+J779+J808+J834</f>
        <v>290611</v>
      </c>
      <c r="K643" s="52">
        <f t="shared" si="122"/>
        <v>15745839</v>
      </c>
      <c r="L643" s="53"/>
      <c r="M643" s="52">
        <f>M644+M650+M678+M701+M726+M755+M779+M808+M834</f>
        <v>1884810</v>
      </c>
      <c r="N643" s="52">
        <f>N644+N650+N678+N701+N726+N755+N779+N808+N834</f>
        <v>277720</v>
      </c>
      <c r="O643" s="52">
        <f t="shared" si="123"/>
        <v>2162530</v>
      </c>
      <c r="P643" s="54"/>
      <c r="Q643" s="72">
        <f t="shared" si="118"/>
        <v>17340038</v>
      </c>
      <c r="R643" s="72">
        <f t="shared" si="119"/>
        <v>568331</v>
      </c>
      <c r="S643" s="72">
        <f t="shared" si="120"/>
        <v>17908369</v>
      </c>
    </row>
    <row r="644" spans="2:19" x14ac:dyDescent="0.2">
      <c r="B644" s="48">
        <f t="shared" si="121"/>
        <v>190</v>
      </c>
      <c r="C644" s="9"/>
      <c r="D644" s="9"/>
      <c r="E644" s="9"/>
      <c r="F644" s="61" t="s">
        <v>120</v>
      </c>
      <c r="G644" s="8">
        <v>630</v>
      </c>
      <c r="H644" s="9" t="s">
        <v>122</v>
      </c>
      <c r="I644" s="62">
        <f>SUM(I645:I648)</f>
        <v>68000</v>
      </c>
      <c r="J644" s="62">
        <f>SUM(J645:J649)</f>
        <v>17364</v>
      </c>
      <c r="K644" s="62">
        <f t="shared" si="122"/>
        <v>85364</v>
      </c>
      <c r="L644" s="62"/>
      <c r="M644" s="62"/>
      <c r="N644" s="62"/>
      <c r="O644" s="62">
        <f t="shared" si="123"/>
        <v>0</v>
      </c>
      <c r="P644" s="63"/>
      <c r="Q644" s="64">
        <f t="shared" si="118"/>
        <v>68000</v>
      </c>
      <c r="R644" s="64">
        <f t="shared" si="119"/>
        <v>17364</v>
      </c>
      <c r="S644" s="64">
        <f t="shared" si="120"/>
        <v>85364</v>
      </c>
    </row>
    <row r="645" spans="2:19" x14ac:dyDescent="0.2">
      <c r="B645" s="48">
        <f t="shared" si="121"/>
        <v>191</v>
      </c>
      <c r="C645" s="9"/>
      <c r="D645" s="9"/>
      <c r="E645" s="9"/>
      <c r="F645" s="61"/>
      <c r="G645" s="10">
        <v>633</v>
      </c>
      <c r="H645" s="11" t="s">
        <v>126</v>
      </c>
      <c r="I645" s="66">
        <v>12000</v>
      </c>
      <c r="J645" s="66"/>
      <c r="K645" s="66">
        <f t="shared" si="122"/>
        <v>12000</v>
      </c>
      <c r="L645" s="62"/>
      <c r="M645" s="62"/>
      <c r="N645" s="62"/>
      <c r="O645" s="62">
        <f t="shared" si="123"/>
        <v>0</v>
      </c>
      <c r="P645" s="63"/>
      <c r="Q645" s="68">
        <f t="shared" si="118"/>
        <v>12000</v>
      </c>
      <c r="R645" s="68">
        <f t="shared" si="119"/>
        <v>0</v>
      </c>
      <c r="S645" s="68">
        <f t="shared" si="120"/>
        <v>12000</v>
      </c>
    </row>
    <row r="646" spans="2:19" ht="24" x14ac:dyDescent="0.2">
      <c r="B646" s="48">
        <f t="shared" si="121"/>
        <v>192</v>
      </c>
      <c r="C646" s="9"/>
      <c r="D646" s="9"/>
      <c r="E646" s="9"/>
      <c r="F646" s="61"/>
      <c r="G646" s="10">
        <v>633</v>
      </c>
      <c r="H646" s="189" t="s">
        <v>603</v>
      </c>
      <c r="I646" s="66">
        <v>0</v>
      </c>
      <c r="J646" s="66">
        <v>9600</v>
      </c>
      <c r="K646" s="66">
        <f>J646</f>
        <v>9600</v>
      </c>
      <c r="L646" s="62"/>
      <c r="M646" s="62"/>
      <c r="N646" s="62"/>
      <c r="O646" s="62">
        <f>M646+N646</f>
        <v>0</v>
      </c>
      <c r="P646" s="63"/>
      <c r="Q646" s="68">
        <f t="shared" ref="Q646:Q676" si="124">I646+M646</f>
        <v>0</v>
      </c>
      <c r="R646" s="68">
        <f t="shared" ref="R646:R676" si="125">J646+N646</f>
        <v>9600</v>
      </c>
      <c r="S646" s="68">
        <f t="shared" ref="S646:S676" si="126">K646+O646</f>
        <v>9600</v>
      </c>
    </row>
    <row r="647" spans="2:19" x14ac:dyDescent="0.2">
      <c r="B647" s="48">
        <f t="shared" si="121"/>
        <v>193</v>
      </c>
      <c r="C647" s="11"/>
      <c r="D647" s="11"/>
      <c r="E647" s="11"/>
      <c r="F647" s="65"/>
      <c r="G647" s="10">
        <v>635</v>
      </c>
      <c r="H647" s="11" t="s">
        <v>134</v>
      </c>
      <c r="I647" s="66">
        <v>50000</v>
      </c>
      <c r="J647" s="66"/>
      <c r="K647" s="66">
        <f t="shared" si="122"/>
        <v>50000</v>
      </c>
      <c r="L647" s="66"/>
      <c r="M647" s="66"/>
      <c r="N647" s="66"/>
      <c r="O647" s="66">
        <f t="shared" si="123"/>
        <v>0</v>
      </c>
      <c r="P647" s="67"/>
      <c r="Q647" s="68">
        <f t="shared" si="124"/>
        <v>50000</v>
      </c>
      <c r="R647" s="68">
        <f t="shared" si="125"/>
        <v>0</v>
      </c>
      <c r="S647" s="68">
        <f t="shared" si="126"/>
        <v>50000</v>
      </c>
    </row>
    <row r="648" spans="2:19" x14ac:dyDescent="0.2">
      <c r="B648" s="48">
        <f t="shared" si="121"/>
        <v>194</v>
      </c>
      <c r="C648" s="11"/>
      <c r="D648" s="11"/>
      <c r="E648" s="11"/>
      <c r="F648" s="65"/>
      <c r="G648" s="10">
        <v>637</v>
      </c>
      <c r="H648" s="11" t="s">
        <v>123</v>
      </c>
      <c r="I648" s="66">
        <v>6000</v>
      </c>
      <c r="J648" s="66"/>
      <c r="K648" s="66">
        <f t="shared" si="122"/>
        <v>6000</v>
      </c>
      <c r="L648" s="66"/>
      <c r="M648" s="66"/>
      <c r="N648" s="66"/>
      <c r="O648" s="66">
        <f t="shared" si="123"/>
        <v>0</v>
      </c>
      <c r="P648" s="67"/>
      <c r="Q648" s="68">
        <f t="shared" si="124"/>
        <v>6000</v>
      </c>
      <c r="R648" s="68">
        <f t="shared" si="125"/>
        <v>0</v>
      </c>
      <c r="S648" s="68">
        <f t="shared" si="126"/>
        <v>6000</v>
      </c>
    </row>
    <row r="649" spans="2:19" x14ac:dyDescent="0.2">
      <c r="B649" s="48">
        <f t="shared" si="121"/>
        <v>195</v>
      </c>
      <c r="C649" s="11"/>
      <c r="D649" s="11"/>
      <c r="E649" s="11"/>
      <c r="F649" s="65"/>
      <c r="G649" s="10">
        <v>600</v>
      </c>
      <c r="H649" s="11" t="s">
        <v>607</v>
      </c>
      <c r="I649" s="66">
        <v>0</v>
      </c>
      <c r="J649" s="66">
        <f>7747+17</f>
        <v>7764</v>
      </c>
      <c r="K649" s="66">
        <f t="shared" si="122"/>
        <v>7764</v>
      </c>
      <c r="L649" s="66"/>
      <c r="M649" s="66"/>
      <c r="N649" s="66"/>
      <c r="O649" s="66">
        <f>M649+N649</f>
        <v>0</v>
      </c>
      <c r="P649" s="67"/>
      <c r="Q649" s="68">
        <f t="shared" si="124"/>
        <v>0</v>
      </c>
      <c r="R649" s="68">
        <f t="shared" si="125"/>
        <v>7764</v>
      </c>
      <c r="S649" s="68">
        <f t="shared" si="126"/>
        <v>7764</v>
      </c>
    </row>
    <row r="650" spans="2:19" ht="15" x14ac:dyDescent="0.25">
      <c r="B650" s="48">
        <f t="shared" si="121"/>
        <v>196</v>
      </c>
      <c r="C650" s="166"/>
      <c r="D650" s="166"/>
      <c r="E650" s="166">
        <v>6</v>
      </c>
      <c r="F650" s="167"/>
      <c r="G650" s="167"/>
      <c r="H650" s="166" t="s">
        <v>286</v>
      </c>
      <c r="I650" s="168">
        <f>I651+I652+I653+I660+I661+I662+I663+I670</f>
        <v>1355261</v>
      </c>
      <c r="J650" s="168">
        <f>J651+J652+J653+J660+J661+J662+J663+J670+J671</f>
        <v>1783</v>
      </c>
      <c r="K650" s="168">
        <f t="shared" si="122"/>
        <v>1357044</v>
      </c>
      <c r="L650" s="58"/>
      <c r="M650" s="168">
        <f>M672</f>
        <v>21000</v>
      </c>
      <c r="N650" s="168">
        <f>N672</f>
        <v>100000</v>
      </c>
      <c r="O650" s="168">
        <f t="shared" si="123"/>
        <v>121000</v>
      </c>
      <c r="P650" s="59"/>
      <c r="Q650" s="169">
        <f t="shared" si="124"/>
        <v>1376261</v>
      </c>
      <c r="R650" s="169">
        <f t="shared" si="125"/>
        <v>101783</v>
      </c>
      <c r="S650" s="169">
        <f t="shared" si="126"/>
        <v>1478044</v>
      </c>
    </row>
    <row r="651" spans="2:19" x14ac:dyDescent="0.2">
      <c r="B651" s="48">
        <f t="shared" si="121"/>
        <v>197</v>
      </c>
      <c r="C651" s="9"/>
      <c r="D651" s="9"/>
      <c r="E651" s="9"/>
      <c r="F651" s="61" t="s">
        <v>120</v>
      </c>
      <c r="G651" s="8">
        <v>610</v>
      </c>
      <c r="H651" s="9" t="s">
        <v>132</v>
      </c>
      <c r="I651" s="62">
        <v>312244</v>
      </c>
      <c r="J651" s="62">
        <v>-13240</v>
      </c>
      <c r="K651" s="62">
        <f t="shared" si="122"/>
        <v>299004</v>
      </c>
      <c r="L651" s="62"/>
      <c r="M651" s="62"/>
      <c r="N651" s="62"/>
      <c r="O651" s="62">
        <f t="shared" si="123"/>
        <v>0</v>
      </c>
      <c r="P651" s="63"/>
      <c r="Q651" s="64">
        <f t="shared" si="124"/>
        <v>312244</v>
      </c>
      <c r="R651" s="64">
        <f t="shared" si="125"/>
        <v>-13240</v>
      </c>
      <c r="S651" s="64">
        <f t="shared" si="126"/>
        <v>299004</v>
      </c>
    </row>
    <row r="652" spans="2:19" x14ac:dyDescent="0.2">
      <c r="B652" s="48">
        <f t="shared" si="121"/>
        <v>198</v>
      </c>
      <c r="C652" s="9"/>
      <c r="D652" s="9"/>
      <c r="E652" s="9"/>
      <c r="F652" s="61" t="s">
        <v>120</v>
      </c>
      <c r="G652" s="8">
        <v>620</v>
      </c>
      <c r="H652" s="9" t="s">
        <v>125</v>
      </c>
      <c r="I652" s="62">
        <v>108174</v>
      </c>
      <c r="J652" s="62">
        <v>-4760</v>
      </c>
      <c r="K652" s="62">
        <f t="shared" si="122"/>
        <v>103414</v>
      </c>
      <c r="L652" s="62"/>
      <c r="M652" s="62"/>
      <c r="N652" s="62"/>
      <c r="O652" s="62">
        <f t="shared" si="123"/>
        <v>0</v>
      </c>
      <c r="P652" s="63"/>
      <c r="Q652" s="64">
        <f t="shared" si="124"/>
        <v>108174</v>
      </c>
      <c r="R652" s="64">
        <f t="shared" si="125"/>
        <v>-4760</v>
      </c>
      <c r="S652" s="64">
        <f t="shared" si="126"/>
        <v>103414</v>
      </c>
    </row>
    <row r="653" spans="2:19" x14ac:dyDescent="0.2">
      <c r="B653" s="48">
        <f t="shared" si="121"/>
        <v>199</v>
      </c>
      <c r="C653" s="9"/>
      <c r="D653" s="9"/>
      <c r="E653" s="9"/>
      <c r="F653" s="61" t="s">
        <v>120</v>
      </c>
      <c r="G653" s="8">
        <v>630</v>
      </c>
      <c r="H653" s="9" t="s">
        <v>122</v>
      </c>
      <c r="I653" s="62">
        <f>SUM(I654:I659)</f>
        <v>128990</v>
      </c>
      <c r="J653" s="62">
        <f>SUM(J654:J659)</f>
        <v>-11790</v>
      </c>
      <c r="K653" s="62">
        <f t="shared" si="122"/>
        <v>117200</v>
      </c>
      <c r="L653" s="62"/>
      <c r="M653" s="62"/>
      <c r="N653" s="62"/>
      <c r="O653" s="62">
        <f t="shared" si="123"/>
        <v>0</v>
      </c>
      <c r="P653" s="63"/>
      <c r="Q653" s="64">
        <f t="shared" si="124"/>
        <v>128990</v>
      </c>
      <c r="R653" s="64">
        <f t="shared" si="125"/>
        <v>-11790</v>
      </c>
      <c r="S653" s="64">
        <f t="shared" si="126"/>
        <v>117200</v>
      </c>
    </row>
    <row r="654" spans="2:19" x14ac:dyDescent="0.2">
      <c r="B654" s="48">
        <f t="shared" si="121"/>
        <v>200</v>
      </c>
      <c r="C654" s="11"/>
      <c r="D654" s="11"/>
      <c r="E654" s="11"/>
      <c r="F654" s="65"/>
      <c r="G654" s="10">
        <v>631</v>
      </c>
      <c r="H654" s="11" t="s">
        <v>128</v>
      </c>
      <c r="I654" s="66">
        <v>433</v>
      </c>
      <c r="J654" s="66"/>
      <c r="K654" s="66">
        <f t="shared" si="122"/>
        <v>433</v>
      </c>
      <c r="L654" s="66"/>
      <c r="M654" s="66"/>
      <c r="N654" s="66"/>
      <c r="O654" s="66">
        <f t="shared" si="123"/>
        <v>0</v>
      </c>
      <c r="P654" s="67"/>
      <c r="Q654" s="68">
        <f t="shared" si="124"/>
        <v>433</v>
      </c>
      <c r="R654" s="68">
        <f t="shared" si="125"/>
        <v>0</v>
      </c>
      <c r="S654" s="68">
        <f t="shared" si="126"/>
        <v>433</v>
      </c>
    </row>
    <row r="655" spans="2:19" x14ac:dyDescent="0.2">
      <c r="B655" s="48">
        <f t="shared" si="121"/>
        <v>201</v>
      </c>
      <c r="C655" s="11"/>
      <c r="D655" s="11"/>
      <c r="E655" s="11"/>
      <c r="F655" s="65"/>
      <c r="G655" s="10">
        <v>632</v>
      </c>
      <c r="H655" s="11" t="s">
        <v>135</v>
      </c>
      <c r="I655" s="66">
        <v>73434</v>
      </c>
      <c r="J655" s="66"/>
      <c r="K655" s="66">
        <f t="shared" si="122"/>
        <v>73434</v>
      </c>
      <c r="L655" s="66"/>
      <c r="M655" s="66"/>
      <c r="N655" s="66"/>
      <c r="O655" s="66">
        <f t="shared" si="123"/>
        <v>0</v>
      </c>
      <c r="P655" s="67"/>
      <c r="Q655" s="68">
        <f t="shared" si="124"/>
        <v>73434</v>
      </c>
      <c r="R655" s="68">
        <f t="shared" si="125"/>
        <v>0</v>
      </c>
      <c r="S655" s="68">
        <f t="shared" si="126"/>
        <v>73434</v>
      </c>
    </row>
    <row r="656" spans="2:19" x14ac:dyDescent="0.2">
      <c r="B656" s="48">
        <f t="shared" si="121"/>
        <v>202</v>
      </c>
      <c r="C656" s="11"/>
      <c r="D656" s="11"/>
      <c r="E656" s="11"/>
      <c r="F656" s="65"/>
      <c r="G656" s="10">
        <v>633</v>
      </c>
      <c r="H656" s="11" t="s">
        <v>126</v>
      </c>
      <c r="I656" s="66">
        <v>20400</v>
      </c>
      <c r="J656" s="66">
        <v>-11790</v>
      </c>
      <c r="K656" s="66">
        <f t="shared" si="122"/>
        <v>8610</v>
      </c>
      <c r="L656" s="66"/>
      <c r="M656" s="66"/>
      <c r="N656" s="66"/>
      <c r="O656" s="66">
        <f t="shared" si="123"/>
        <v>0</v>
      </c>
      <c r="P656" s="67"/>
      <c r="Q656" s="68">
        <f t="shared" si="124"/>
        <v>20400</v>
      </c>
      <c r="R656" s="68">
        <f t="shared" si="125"/>
        <v>-11790</v>
      </c>
      <c r="S656" s="68">
        <f t="shared" si="126"/>
        <v>8610</v>
      </c>
    </row>
    <row r="657" spans="2:19" x14ac:dyDescent="0.2">
      <c r="B657" s="48">
        <f t="shared" ref="B657:B727" si="127">B656+1</f>
        <v>203</v>
      </c>
      <c r="C657" s="11"/>
      <c r="D657" s="11"/>
      <c r="E657" s="11"/>
      <c r="F657" s="65"/>
      <c r="G657" s="10">
        <v>634</v>
      </c>
      <c r="H657" s="11" t="s">
        <v>133</v>
      </c>
      <c r="I657" s="66">
        <v>1059</v>
      </c>
      <c r="J657" s="66"/>
      <c r="K657" s="66">
        <f t="shared" ref="K657:K727" si="128">I657+J657</f>
        <v>1059</v>
      </c>
      <c r="L657" s="66"/>
      <c r="M657" s="66"/>
      <c r="N657" s="66"/>
      <c r="O657" s="66">
        <f t="shared" ref="O657:O727" si="129">M657+N657</f>
        <v>0</v>
      </c>
      <c r="P657" s="67"/>
      <c r="Q657" s="68">
        <f t="shared" si="124"/>
        <v>1059</v>
      </c>
      <c r="R657" s="68">
        <f t="shared" si="125"/>
        <v>0</v>
      </c>
      <c r="S657" s="68">
        <f t="shared" si="126"/>
        <v>1059</v>
      </c>
    </row>
    <row r="658" spans="2:19" x14ac:dyDescent="0.2">
      <c r="B658" s="48">
        <f t="shared" si="127"/>
        <v>204</v>
      </c>
      <c r="C658" s="11"/>
      <c r="D658" s="11"/>
      <c r="E658" s="11"/>
      <c r="F658" s="65"/>
      <c r="G658" s="10">
        <v>635</v>
      </c>
      <c r="H658" s="11" t="s">
        <v>134</v>
      </c>
      <c r="I658" s="66">
        <v>10856</v>
      </c>
      <c r="J658" s="66"/>
      <c r="K658" s="66">
        <f t="shared" si="128"/>
        <v>10856</v>
      </c>
      <c r="L658" s="66"/>
      <c r="M658" s="66"/>
      <c r="N658" s="66"/>
      <c r="O658" s="66">
        <f t="shared" si="129"/>
        <v>0</v>
      </c>
      <c r="P658" s="67"/>
      <c r="Q658" s="68">
        <f t="shared" si="124"/>
        <v>10856</v>
      </c>
      <c r="R658" s="68">
        <f t="shared" si="125"/>
        <v>0</v>
      </c>
      <c r="S658" s="68">
        <f t="shared" si="126"/>
        <v>10856</v>
      </c>
    </row>
    <row r="659" spans="2:19" x14ac:dyDescent="0.2">
      <c r="B659" s="48">
        <f t="shared" si="127"/>
        <v>205</v>
      </c>
      <c r="C659" s="11"/>
      <c r="D659" s="11"/>
      <c r="E659" s="11"/>
      <c r="F659" s="65"/>
      <c r="G659" s="10">
        <v>637</v>
      </c>
      <c r="H659" s="11" t="s">
        <v>123</v>
      </c>
      <c r="I659" s="66">
        <v>22808</v>
      </c>
      <c r="J659" s="66"/>
      <c r="K659" s="66">
        <f t="shared" si="128"/>
        <v>22808</v>
      </c>
      <c r="L659" s="66"/>
      <c r="M659" s="66"/>
      <c r="N659" s="66"/>
      <c r="O659" s="66">
        <f t="shared" si="129"/>
        <v>0</v>
      </c>
      <c r="P659" s="67"/>
      <c r="Q659" s="68">
        <f t="shared" si="124"/>
        <v>22808</v>
      </c>
      <c r="R659" s="68">
        <f t="shared" si="125"/>
        <v>0</v>
      </c>
      <c r="S659" s="68">
        <f t="shared" si="126"/>
        <v>22808</v>
      </c>
    </row>
    <row r="660" spans="2:19" x14ac:dyDescent="0.2">
      <c r="B660" s="48">
        <f t="shared" si="127"/>
        <v>206</v>
      </c>
      <c r="C660" s="9"/>
      <c r="D660" s="9"/>
      <c r="E660" s="9"/>
      <c r="F660" s="61" t="s">
        <v>120</v>
      </c>
      <c r="G660" s="8">
        <v>640</v>
      </c>
      <c r="H660" s="9" t="s">
        <v>130</v>
      </c>
      <c r="I660" s="62">
        <v>1903</v>
      </c>
      <c r="J660" s="62"/>
      <c r="K660" s="62">
        <f t="shared" si="128"/>
        <v>1903</v>
      </c>
      <c r="L660" s="62"/>
      <c r="M660" s="62"/>
      <c r="N660" s="62"/>
      <c r="O660" s="62">
        <f t="shared" si="129"/>
        <v>0</v>
      </c>
      <c r="P660" s="63"/>
      <c r="Q660" s="64">
        <f t="shared" si="124"/>
        <v>1903</v>
      </c>
      <c r="R660" s="64">
        <f t="shared" si="125"/>
        <v>0</v>
      </c>
      <c r="S660" s="64">
        <f t="shared" si="126"/>
        <v>1903</v>
      </c>
    </row>
    <row r="661" spans="2:19" x14ac:dyDescent="0.2">
      <c r="B661" s="48">
        <f t="shared" si="127"/>
        <v>207</v>
      </c>
      <c r="C661" s="9"/>
      <c r="D661" s="9"/>
      <c r="E661" s="9"/>
      <c r="F661" s="61" t="s">
        <v>109</v>
      </c>
      <c r="G661" s="8">
        <v>610</v>
      </c>
      <c r="H661" s="9" t="s">
        <v>132</v>
      </c>
      <c r="I661" s="62">
        <f>496277+100</f>
        <v>496377</v>
      </c>
      <c r="J661" s="62">
        <v>-16182</v>
      </c>
      <c r="K661" s="62">
        <f t="shared" si="128"/>
        <v>480195</v>
      </c>
      <c r="L661" s="62"/>
      <c r="M661" s="62"/>
      <c r="N661" s="62"/>
      <c r="O661" s="62">
        <f t="shared" si="129"/>
        <v>0</v>
      </c>
      <c r="P661" s="63"/>
      <c r="Q661" s="64">
        <f t="shared" si="124"/>
        <v>496377</v>
      </c>
      <c r="R661" s="64">
        <f t="shared" si="125"/>
        <v>-16182</v>
      </c>
      <c r="S661" s="64">
        <f t="shared" si="126"/>
        <v>480195</v>
      </c>
    </row>
    <row r="662" spans="2:19" x14ac:dyDescent="0.2">
      <c r="B662" s="48">
        <f t="shared" si="127"/>
        <v>208</v>
      </c>
      <c r="C662" s="9"/>
      <c r="D662" s="9"/>
      <c r="E662" s="9"/>
      <c r="F662" s="61" t="s">
        <v>109</v>
      </c>
      <c r="G662" s="8">
        <v>620</v>
      </c>
      <c r="H662" s="9" t="s">
        <v>125</v>
      </c>
      <c r="I662" s="62">
        <f>172794+35</f>
        <v>172829</v>
      </c>
      <c r="J662" s="62">
        <v>-5818</v>
      </c>
      <c r="K662" s="62">
        <f t="shared" si="128"/>
        <v>167011</v>
      </c>
      <c r="L662" s="62"/>
      <c r="M662" s="62"/>
      <c r="N662" s="62"/>
      <c r="O662" s="62">
        <f t="shared" si="129"/>
        <v>0</v>
      </c>
      <c r="P662" s="63"/>
      <c r="Q662" s="64">
        <f t="shared" si="124"/>
        <v>172829</v>
      </c>
      <c r="R662" s="64">
        <f t="shared" si="125"/>
        <v>-5818</v>
      </c>
      <c r="S662" s="64">
        <f t="shared" si="126"/>
        <v>167011</v>
      </c>
    </row>
    <row r="663" spans="2:19" x14ac:dyDescent="0.2">
      <c r="B663" s="48">
        <f t="shared" si="127"/>
        <v>209</v>
      </c>
      <c r="C663" s="9"/>
      <c r="D663" s="9"/>
      <c r="E663" s="9"/>
      <c r="F663" s="61" t="s">
        <v>109</v>
      </c>
      <c r="G663" s="8">
        <v>630</v>
      </c>
      <c r="H663" s="9" t="s">
        <v>122</v>
      </c>
      <c r="I663" s="62">
        <f>SUM(I664:I669)</f>
        <v>132327</v>
      </c>
      <c r="J663" s="62">
        <f>SUM(J664:J669)</f>
        <v>-8879</v>
      </c>
      <c r="K663" s="62">
        <f t="shared" si="128"/>
        <v>123448</v>
      </c>
      <c r="L663" s="62"/>
      <c r="M663" s="62"/>
      <c r="N663" s="62"/>
      <c r="O663" s="62">
        <f t="shared" si="129"/>
        <v>0</v>
      </c>
      <c r="P663" s="63"/>
      <c r="Q663" s="64">
        <f t="shared" si="124"/>
        <v>132327</v>
      </c>
      <c r="R663" s="64">
        <f t="shared" si="125"/>
        <v>-8879</v>
      </c>
      <c r="S663" s="64">
        <f t="shared" si="126"/>
        <v>123448</v>
      </c>
    </row>
    <row r="664" spans="2:19" x14ac:dyDescent="0.2">
      <c r="B664" s="48">
        <f t="shared" si="127"/>
        <v>210</v>
      </c>
      <c r="C664" s="11"/>
      <c r="D664" s="11"/>
      <c r="E664" s="11"/>
      <c r="F664" s="65"/>
      <c r="G664" s="10">
        <v>631</v>
      </c>
      <c r="H664" s="11" t="s">
        <v>128</v>
      </c>
      <c r="I664" s="66">
        <v>359</v>
      </c>
      <c r="J664" s="66"/>
      <c r="K664" s="66">
        <f t="shared" si="128"/>
        <v>359</v>
      </c>
      <c r="L664" s="66"/>
      <c r="M664" s="66"/>
      <c r="N664" s="66"/>
      <c r="O664" s="66">
        <f t="shared" si="129"/>
        <v>0</v>
      </c>
      <c r="P664" s="67"/>
      <c r="Q664" s="68">
        <f t="shared" si="124"/>
        <v>359</v>
      </c>
      <c r="R664" s="68">
        <f t="shared" si="125"/>
        <v>0</v>
      </c>
      <c r="S664" s="68">
        <f t="shared" si="126"/>
        <v>359</v>
      </c>
    </row>
    <row r="665" spans="2:19" x14ac:dyDescent="0.2">
      <c r="B665" s="48">
        <f t="shared" si="127"/>
        <v>211</v>
      </c>
      <c r="C665" s="11"/>
      <c r="D665" s="11"/>
      <c r="E665" s="11"/>
      <c r="F665" s="65"/>
      <c r="G665" s="10">
        <v>632</v>
      </c>
      <c r="H665" s="11" t="s">
        <v>135</v>
      </c>
      <c r="I665" s="66">
        <v>61238</v>
      </c>
      <c r="J665" s="66"/>
      <c r="K665" s="66">
        <f t="shared" si="128"/>
        <v>61238</v>
      </c>
      <c r="L665" s="66"/>
      <c r="M665" s="66"/>
      <c r="N665" s="66"/>
      <c r="O665" s="66">
        <f t="shared" si="129"/>
        <v>0</v>
      </c>
      <c r="P665" s="67"/>
      <c r="Q665" s="68">
        <f t="shared" si="124"/>
        <v>61238</v>
      </c>
      <c r="R665" s="68">
        <f t="shared" si="125"/>
        <v>0</v>
      </c>
      <c r="S665" s="68">
        <f t="shared" si="126"/>
        <v>61238</v>
      </c>
    </row>
    <row r="666" spans="2:19" x14ac:dyDescent="0.2">
      <c r="B666" s="48">
        <f t="shared" si="127"/>
        <v>212</v>
      </c>
      <c r="C666" s="11"/>
      <c r="D666" s="11"/>
      <c r="E666" s="11"/>
      <c r="F666" s="65"/>
      <c r="G666" s="10">
        <v>633</v>
      </c>
      <c r="H666" s="11" t="s">
        <v>126</v>
      </c>
      <c r="I666" s="66">
        <v>24603</v>
      </c>
      <c r="J666" s="66">
        <v>-10379</v>
      </c>
      <c r="K666" s="66">
        <f t="shared" si="128"/>
        <v>14224</v>
      </c>
      <c r="L666" s="66"/>
      <c r="M666" s="66"/>
      <c r="N666" s="66"/>
      <c r="O666" s="66">
        <f t="shared" si="129"/>
        <v>0</v>
      </c>
      <c r="P666" s="67"/>
      <c r="Q666" s="68">
        <f t="shared" si="124"/>
        <v>24603</v>
      </c>
      <c r="R666" s="68">
        <f t="shared" si="125"/>
        <v>-10379</v>
      </c>
      <c r="S666" s="68">
        <f t="shared" si="126"/>
        <v>14224</v>
      </c>
    </row>
    <row r="667" spans="2:19" x14ac:dyDescent="0.2">
      <c r="B667" s="48">
        <f t="shared" si="127"/>
        <v>213</v>
      </c>
      <c r="C667" s="11"/>
      <c r="D667" s="11"/>
      <c r="E667" s="11"/>
      <c r="F667" s="65"/>
      <c r="G667" s="10">
        <v>634</v>
      </c>
      <c r="H667" s="11" t="s">
        <v>133</v>
      </c>
      <c r="I667" s="66">
        <v>3609</v>
      </c>
      <c r="J667" s="66"/>
      <c r="K667" s="66">
        <f t="shared" si="128"/>
        <v>3609</v>
      </c>
      <c r="L667" s="66"/>
      <c r="M667" s="66"/>
      <c r="N667" s="66"/>
      <c r="O667" s="66">
        <f t="shared" si="129"/>
        <v>0</v>
      </c>
      <c r="P667" s="67"/>
      <c r="Q667" s="68">
        <f t="shared" si="124"/>
        <v>3609</v>
      </c>
      <c r="R667" s="68">
        <f t="shared" si="125"/>
        <v>0</v>
      </c>
      <c r="S667" s="68">
        <f t="shared" si="126"/>
        <v>3609</v>
      </c>
    </row>
    <row r="668" spans="2:19" x14ac:dyDescent="0.2">
      <c r="B668" s="48">
        <f t="shared" si="127"/>
        <v>214</v>
      </c>
      <c r="C668" s="11"/>
      <c r="D668" s="11"/>
      <c r="E668" s="11"/>
      <c r="F668" s="65"/>
      <c r="G668" s="10">
        <v>635</v>
      </c>
      <c r="H668" s="11" t="s">
        <v>134</v>
      </c>
      <c r="I668" s="66">
        <v>8543</v>
      </c>
      <c r="J668" s="66"/>
      <c r="K668" s="66">
        <f t="shared" si="128"/>
        <v>8543</v>
      </c>
      <c r="L668" s="66"/>
      <c r="M668" s="66"/>
      <c r="N668" s="66"/>
      <c r="O668" s="66">
        <f t="shared" si="129"/>
        <v>0</v>
      </c>
      <c r="P668" s="67"/>
      <c r="Q668" s="68">
        <f t="shared" si="124"/>
        <v>8543</v>
      </c>
      <c r="R668" s="68">
        <f t="shared" si="125"/>
        <v>0</v>
      </c>
      <c r="S668" s="68">
        <f t="shared" si="126"/>
        <v>8543</v>
      </c>
    </row>
    <row r="669" spans="2:19" x14ac:dyDescent="0.2">
      <c r="B669" s="48">
        <f t="shared" si="127"/>
        <v>215</v>
      </c>
      <c r="C669" s="11"/>
      <c r="D669" s="11"/>
      <c r="E669" s="11"/>
      <c r="F669" s="65"/>
      <c r="G669" s="10">
        <v>637</v>
      </c>
      <c r="H669" s="11" t="s">
        <v>123</v>
      </c>
      <c r="I669" s="66">
        <v>33975</v>
      </c>
      <c r="J669" s="66">
        <v>1500</v>
      </c>
      <c r="K669" s="66">
        <f t="shared" si="128"/>
        <v>35475</v>
      </c>
      <c r="L669" s="66"/>
      <c r="M669" s="66"/>
      <c r="N669" s="66"/>
      <c r="O669" s="66">
        <f t="shared" si="129"/>
        <v>0</v>
      </c>
      <c r="P669" s="67"/>
      <c r="Q669" s="68">
        <f t="shared" si="124"/>
        <v>33975</v>
      </c>
      <c r="R669" s="68">
        <f t="shared" si="125"/>
        <v>1500</v>
      </c>
      <c r="S669" s="68">
        <f t="shared" si="126"/>
        <v>35475</v>
      </c>
    </row>
    <row r="670" spans="2:19" x14ac:dyDescent="0.2">
      <c r="B670" s="48">
        <f t="shared" si="127"/>
        <v>216</v>
      </c>
      <c r="C670" s="9"/>
      <c r="D670" s="9"/>
      <c r="E670" s="9"/>
      <c r="F670" s="61" t="s">
        <v>109</v>
      </c>
      <c r="G670" s="8">
        <v>640</v>
      </c>
      <c r="H670" s="9" t="s">
        <v>130</v>
      </c>
      <c r="I670" s="62">
        <v>2417</v>
      </c>
      <c r="J670" s="62"/>
      <c r="K670" s="62">
        <f t="shared" si="128"/>
        <v>2417</v>
      </c>
      <c r="L670" s="62"/>
      <c r="M670" s="62"/>
      <c r="N670" s="62"/>
      <c r="O670" s="62">
        <f t="shared" si="129"/>
        <v>0</v>
      </c>
      <c r="P670" s="63"/>
      <c r="Q670" s="64">
        <f t="shared" si="124"/>
        <v>2417</v>
      </c>
      <c r="R670" s="64">
        <f t="shared" si="125"/>
        <v>0</v>
      </c>
      <c r="S670" s="64">
        <f t="shared" si="126"/>
        <v>2417</v>
      </c>
    </row>
    <row r="671" spans="2:19" x14ac:dyDescent="0.2">
      <c r="B671" s="48">
        <f t="shared" si="127"/>
        <v>217</v>
      </c>
      <c r="C671" s="9"/>
      <c r="D671" s="9"/>
      <c r="E671" s="9"/>
      <c r="F671" s="61"/>
      <c r="G671" s="8">
        <v>600</v>
      </c>
      <c r="H671" s="9" t="s">
        <v>607</v>
      </c>
      <c r="I671" s="62">
        <v>0</v>
      </c>
      <c r="J671" s="62">
        <v>62452</v>
      </c>
      <c r="K671" s="62">
        <f t="shared" si="128"/>
        <v>62452</v>
      </c>
      <c r="L671" s="62"/>
      <c r="M671" s="62"/>
      <c r="N671" s="62"/>
      <c r="O671" s="62">
        <f>M671+N671</f>
        <v>0</v>
      </c>
      <c r="P671" s="63"/>
      <c r="Q671" s="64">
        <f t="shared" si="124"/>
        <v>0</v>
      </c>
      <c r="R671" s="64">
        <f t="shared" si="125"/>
        <v>62452</v>
      </c>
      <c r="S671" s="64">
        <f t="shared" si="126"/>
        <v>62452</v>
      </c>
    </row>
    <row r="672" spans="2:19" x14ac:dyDescent="0.2">
      <c r="B672" s="48">
        <f t="shared" si="127"/>
        <v>218</v>
      </c>
      <c r="C672" s="11"/>
      <c r="D672" s="11"/>
      <c r="E672" s="11"/>
      <c r="F672" s="61" t="s">
        <v>109</v>
      </c>
      <c r="G672" s="8">
        <v>710</v>
      </c>
      <c r="H672" s="9" t="s">
        <v>176</v>
      </c>
      <c r="I672" s="62"/>
      <c r="J672" s="62"/>
      <c r="K672" s="62">
        <f t="shared" si="128"/>
        <v>0</v>
      </c>
      <c r="L672" s="62"/>
      <c r="M672" s="62">
        <f>M673+M675</f>
        <v>21000</v>
      </c>
      <c r="N672" s="62">
        <f>N673+N675</f>
        <v>100000</v>
      </c>
      <c r="O672" s="62">
        <f t="shared" si="129"/>
        <v>121000</v>
      </c>
      <c r="P672" s="63"/>
      <c r="Q672" s="64">
        <f t="shared" si="124"/>
        <v>21000</v>
      </c>
      <c r="R672" s="64">
        <f t="shared" si="125"/>
        <v>100000</v>
      </c>
      <c r="S672" s="64">
        <f t="shared" si="126"/>
        <v>121000</v>
      </c>
    </row>
    <row r="673" spans="2:19" x14ac:dyDescent="0.2">
      <c r="B673" s="48">
        <f t="shared" si="127"/>
        <v>219</v>
      </c>
      <c r="C673" s="11"/>
      <c r="D673" s="11"/>
      <c r="E673" s="11"/>
      <c r="F673" s="65"/>
      <c r="G673" s="10">
        <v>716</v>
      </c>
      <c r="H673" s="11" t="s">
        <v>216</v>
      </c>
      <c r="I673" s="66"/>
      <c r="J673" s="66"/>
      <c r="K673" s="66">
        <f t="shared" si="128"/>
        <v>0</v>
      </c>
      <c r="L673" s="66"/>
      <c r="M673" s="66">
        <f>M674</f>
        <v>3000</v>
      </c>
      <c r="N673" s="66">
        <f>N674</f>
        <v>0</v>
      </c>
      <c r="O673" s="66">
        <f t="shared" si="129"/>
        <v>3000</v>
      </c>
      <c r="P673" s="67"/>
      <c r="Q673" s="68">
        <f t="shared" si="124"/>
        <v>3000</v>
      </c>
      <c r="R673" s="68">
        <f t="shared" si="125"/>
        <v>0</v>
      </c>
      <c r="S673" s="68">
        <f t="shared" si="126"/>
        <v>3000</v>
      </c>
    </row>
    <row r="674" spans="2:19" x14ac:dyDescent="0.2">
      <c r="B674" s="48">
        <f t="shared" si="127"/>
        <v>220</v>
      </c>
      <c r="C674" s="13"/>
      <c r="D674" s="13"/>
      <c r="E674" s="13"/>
      <c r="F674" s="188"/>
      <c r="G674" s="82"/>
      <c r="H674" s="13" t="s">
        <v>545</v>
      </c>
      <c r="I674" s="83"/>
      <c r="J674" s="83"/>
      <c r="K674" s="83">
        <f t="shared" si="128"/>
        <v>0</v>
      </c>
      <c r="L674" s="83"/>
      <c r="M674" s="83">
        <v>3000</v>
      </c>
      <c r="N674" s="83"/>
      <c r="O674" s="83">
        <f t="shared" si="129"/>
        <v>3000</v>
      </c>
      <c r="P674" s="84"/>
      <c r="Q674" s="85">
        <f t="shared" si="124"/>
        <v>3000</v>
      </c>
      <c r="R674" s="85">
        <f t="shared" si="125"/>
        <v>0</v>
      </c>
      <c r="S674" s="85">
        <f t="shared" si="126"/>
        <v>3000</v>
      </c>
    </row>
    <row r="675" spans="2:19" x14ac:dyDescent="0.2">
      <c r="B675" s="48">
        <f t="shared" si="127"/>
        <v>221</v>
      </c>
      <c r="C675" s="11"/>
      <c r="D675" s="11"/>
      <c r="E675" s="11"/>
      <c r="F675" s="65"/>
      <c r="G675" s="10">
        <v>717</v>
      </c>
      <c r="H675" s="11" t="s">
        <v>183</v>
      </c>
      <c r="I675" s="66"/>
      <c r="J675" s="66"/>
      <c r="K675" s="66">
        <f t="shared" si="128"/>
        <v>0</v>
      </c>
      <c r="L675" s="66"/>
      <c r="M675" s="66">
        <f>M676</f>
        <v>18000</v>
      </c>
      <c r="N675" s="66">
        <f>N676+N677</f>
        <v>100000</v>
      </c>
      <c r="O675" s="66">
        <f t="shared" si="129"/>
        <v>118000</v>
      </c>
      <c r="P675" s="67"/>
      <c r="Q675" s="68">
        <f t="shared" si="124"/>
        <v>18000</v>
      </c>
      <c r="R675" s="68">
        <f t="shared" si="125"/>
        <v>100000</v>
      </c>
      <c r="S675" s="68">
        <f t="shared" si="126"/>
        <v>118000</v>
      </c>
    </row>
    <row r="676" spans="2:19" x14ac:dyDescent="0.2">
      <c r="B676" s="48">
        <f t="shared" si="127"/>
        <v>222</v>
      </c>
      <c r="C676" s="13"/>
      <c r="D676" s="13"/>
      <c r="E676" s="13"/>
      <c r="F676" s="188"/>
      <c r="G676" s="82"/>
      <c r="H676" s="13" t="s">
        <v>545</v>
      </c>
      <c r="I676" s="83"/>
      <c r="J676" s="83"/>
      <c r="K676" s="83">
        <f t="shared" si="128"/>
        <v>0</v>
      </c>
      <c r="L676" s="83"/>
      <c r="M676" s="83">
        <v>18000</v>
      </c>
      <c r="N676" s="83"/>
      <c r="O676" s="83">
        <f t="shared" si="129"/>
        <v>18000</v>
      </c>
      <c r="P676" s="84"/>
      <c r="Q676" s="85">
        <f t="shared" si="124"/>
        <v>18000</v>
      </c>
      <c r="R676" s="85">
        <f t="shared" si="125"/>
        <v>0</v>
      </c>
      <c r="S676" s="85">
        <f t="shared" si="126"/>
        <v>18000</v>
      </c>
    </row>
    <row r="677" spans="2:19" x14ac:dyDescent="0.2">
      <c r="B677" s="48">
        <f t="shared" si="127"/>
        <v>223</v>
      </c>
      <c r="C677" s="13"/>
      <c r="D677" s="13"/>
      <c r="E677" s="13"/>
      <c r="F677" s="188"/>
      <c r="G677" s="82"/>
      <c r="H677" s="13" t="s">
        <v>623</v>
      </c>
      <c r="I677" s="83"/>
      <c r="J677" s="83"/>
      <c r="K677" s="83"/>
      <c r="L677" s="83"/>
      <c r="M677" s="83">
        <v>0</v>
      </c>
      <c r="N677" s="83">
        <v>100000</v>
      </c>
      <c r="O677" s="83">
        <f>N677</f>
        <v>100000</v>
      </c>
      <c r="P677" s="84"/>
      <c r="Q677" s="85">
        <f t="shared" ref="Q677" si="130">I677+M677</f>
        <v>0</v>
      </c>
      <c r="R677" s="85">
        <f t="shared" ref="R677" si="131">J677+N677</f>
        <v>100000</v>
      </c>
      <c r="S677" s="85">
        <f t="shared" ref="S677" si="132">K677+O677</f>
        <v>100000</v>
      </c>
    </row>
    <row r="678" spans="2:19" ht="15" x14ac:dyDescent="0.25">
      <c r="B678" s="48">
        <f t="shared" si="127"/>
        <v>224</v>
      </c>
      <c r="C678" s="166"/>
      <c r="D678" s="166"/>
      <c r="E678" s="166">
        <v>7</v>
      </c>
      <c r="F678" s="167"/>
      <c r="G678" s="167"/>
      <c r="H678" s="166" t="s">
        <v>288</v>
      </c>
      <c r="I678" s="168">
        <f>I679+I680+I681+I686+I687+I688+I689+I696</f>
        <v>1781204</v>
      </c>
      <c r="J678" s="168">
        <f>J679+J680+J681+J686+J687+J688+J689+J696+J697</f>
        <v>121706</v>
      </c>
      <c r="K678" s="168">
        <f t="shared" si="128"/>
        <v>1902910</v>
      </c>
      <c r="L678" s="58"/>
      <c r="M678" s="168">
        <f>M698</f>
        <v>1431200</v>
      </c>
      <c r="N678" s="168">
        <f>N698</f>
        <v>0</v>
      </c>
      <c r="O678" s="168">
        <f t="shared" si="129"/>
        <v>1431200</v>
      </c>
      <c r="P678" s="59"/>
      <c r="Q678" s="169">
        <f t="shared" ref="Q678:Q709" si="133">I678+M678</f>
        <v>3212404</v>
      </c>
      <c r="R678" s="169">
        <f t="shared" ref="R678:R709" si="134">J678+N678</f>
        <v>121706</v>
      </c>
      <c r="S678" s="169">
        <f t="shared" ref="S678:S709" si="135">K678+O678</f>
        <v>3334110</v>
      </c>
    </row>
    <row r="679" spans="2:19" x14ac:dyDescent="0.2">
      <c r="B679" s="48">
        <f t="shared" si="127"/>
        <v>225</v>
      </c>
      <c r="C679" s="9"/>
      <c r="D679" s="9"/>
      <c r="E679" s="9"/>
      <c r="F679" s="61" t="s">
        <v>120</v>
      </c>
      <c r="G679" s="8">
        <v>610</v>
      </c>
      <c r="H679" s="9" t="s">
        <v>132</v>
      </c>
      <c r="I679" s="62">
        <v>410870</v>
      </c>
      <c r="J679" s="62"/>
      <c r="K679" s="62">
        <f t="shared" si="128"/>
        <v>410870</v>
      </c>
      <c r="L679" s="62"/>
      <c r="M679" s="62"/>
      <c r="N679" s="62"/>
      <c r="O679" s="62">
        <f t="shared" si="129"/>
        <v>0</v>
      </c>
      <c r="P679" s="63"/>
      <c r="Q679" s="64">
        <f t="shared" si="133"/>
        <v>410870</v>
      </c>
      <c r="R679" s="64">
        <f t="shared" si="134"/>
        <v>0</v>
      </c>
      <c r="S679" s="64">
        <f t="shared" si="135"/>
        <v>410870</v>
      </c>
    </row>
    <row r="680" spans="2:19" x14ac:dyDescent="0.2">
      <c r="B680" s="48">
        <f t="shared" si="127"/>
        <v>226</v>
      </c>
      <c r="C680" s="9"/>
      <c r="D680" s="9"/>
      <c r="E680" s="9"/>
      <c r="F680" s="61" t="s">
        <v>120</v>
      </c>
      <c r="G680" s="8">
        <v>620</v>
      </c>
      <c r="H680" s="9" t="s">
        <v>125</v>
      </c>
      <c r="I680" s="62">
        <v>151619</v>
      </c>
      <c r="J680" s="62"/>
      <c r="K680" s="62">
        <f t="shared" si="128"/>
        <v>151619</v>
      </c>
      <c r="L680" s="62"/>
      <c r="M680" s="62"/>
      <c r="N680" s="62"/>
      <c r="O680" s="62">
        <f t="shared" si="129"/>
        <v>0</v>
      </c>
      <c r="P680" s="63"/>
      <c r="Q680" s="64">
        <f t="shared" si="133"/>
        <v>151619</v>
      </c>
      <c r="R680" s="64">
        <f t="shared" si="134"/>
        <v>0</v>
      </c>
      <c r="S680" s="64">
        <f t="shared" si="135"/>
        <v>151619</v>
      </c>
    </row>
    <row r="681" spans="2:19" x14ac:dyDescent="0.2">
      <c r="B681" s="48">
        <f t="shared" si="127"/>
        <v>227</v>
      </c>
      <c r="C681" s="9"/>
      <c r="D681" s="9"/>
      <c r="E681" s="9"/>
      <c r="F681" s="61" t="s">
        <v>120</v>
      </c>
      <c r="G681" s="8">
        <v>630</v>
      </c>
      <c r="H681" s="9" t="s">
        <v>122</v>
      </c>
      <c r="I681" s="62">
        <f>I685+I684+I683+I682</f>
        <v>77010</v>
      </c>
      <c r="J681" s="62">
        <f>J685+J684+J683+J682</f>
        <v>0</v>
      </c>
      <c r="K681" s="62">
        <f t="shared" si="128"/>
        <v>77010</v>
      </c>
      <c r="L681" s="62"/>
      <c r="M681" s="62"/>
      <c r="N681" s="62"/>
      <c r="O681" s="62">
        <f t="shared" si="129"/>
        <v>0</v>
      </c>
      <c r="P681" s="63"/>
      <c r="Q681" s="64">
        <f t="shared" si="133"/>
        <v>77010</v>
      </c>
      <c r="R681" s="64">
        <f t="shared" si="134"/>
        <v>0</v>
      </c>
      <c r="S681" s="64">
        <f t="shared" si="135"/>
        <v>77010</v>
      </c>
    </row>
    <row r="682" spans="2:19" x14ac:dyDescent="0.2">
      <c r="B682" s="48">
        <f t="shared" si="127"/>
        <v>228</v>
      </c>
      <c r="C682" s="11"/>
      <c r="D682" s="11"/>
      <c r="E682" s="11"/>
      <c r="F682" s="65"/>
      <c r="G682" s="10">
        <v>632</v>
      </c>
      <c r="H682" s="11" t="s">
        <v>135</v>
      </c>
      <c r="I682" s="66">
        <f>500+42000+1500+800+500</f>
        <v>45300</v>
      </c>
      <c r="J682" s="66"/>
      <c r="K682" s="66">
        <f t="shared" si="128"/>
        <v>45300</v>
      </c>
      <c r="L682" s="66"/>
      <c r="M682" s="66"/>
      <c r="N682" s="66"/>
      <c r="O682" s="66">
        <f t="shared" si="129"/>
        <v>0</v>
      </c>
      <c r="P682" s="67"/>
      <c r="Q682" s="68">
        <f t="shared" si="133"/>
        <v>45300</v>
      </c>
      <c r="R682" s="68">
        <f t="shared" si="134"/>
        <v>0</v>
      </c>
      <c r="S682" s="68">
        <f t="shared" si="135"/>
        <v>45300</v>
      </c>
    </row>
    <row r="683" spans="2:19" x14ac:dyDescent="0.2">
      <c r="B683" s="48">
        <f t="shared" si="127"/>
        <v>229</v>
      </c>
      <c r="C683" s="11"/>
      <c r="D683" s="11"/>
      <c r="E683" s="11"/>
      <c r="F683" s="65"/>
      <c r="G683" s="10">
        <v>633</v>
      </c>
      <c r="H683" s="11" t="s">
        <v>126</v>
      </c>
      <c r="I683" s="66">
        <f>800+600+50+5000</f>
        <v>6450</v>
      </c>
      <c r="J683" s="66"/>
      <c r="K683" s="66">
        <f t="shared" si="128"/>
        <v>6450</v>
      </c>
      <c r="L683" s="66"/>
      <c r="M683" s="66"/>
      <c r="N683" s="66"/>
      <c r="O683" s="66">
        <f t="shared" si="129"/>
        <v>0</v>
      </c>
      <c r="P683" s="67"/>
      <c r="Q683" s="68">
        <f t="shared" si="133"/>
        <v>6450</v>
      </c>
      <c r="R683" s="68">
        <f t="shared" si="134"/>
        <v>0</v>
      </c>
      <c r="S683" s="68">
        <f t="shared" si="135"/>
        <v>6450</v>
      </c>
    </row>
    <row r="684" spans="2:19" x14ac:dyDescent="0.2">
      <c r="B684" s="48">
        <f t="shared" si="127"/>
        <v>230</v>
      </c>
      <c r="C684" s="11"/>
      <c r="D684" s="11"/>
      <c r="E684" s="11"/>
      <c r="F684" s="65"/>
      <c r="G684" s="10">
        <v>635</v>
      </c>
      <c r="H684" s="11" t="s">
        <v>134</v>
      </c>
      <c r="I684" s="66">
        <f>750+500+6500</f>
        <v>7750</v>
      </c>
      <c r="J684" s="66"/>
      <c r="K684" s="66">
        <f t="shared" si="128"/>
        <v>7750</v>
      </c>
      <c r="L684" s="66"/>
      <c r="M684" s="66"/>
      <c r="N684" s="66"/>
      <c r="O684" s="66">
        <f t="shared" si="129"/>
        <v>0</v>
      </c>
      <c r="P684" s="67"/>
      <c r="Q684" s="68">
        <f t="shared" si="133"/>
        <v>7750</v>
      </c>
      <c r="R684" s="68">
        <f t="shared" si="134"/>
        <v>0</v>
      </c>
      <c r="S684" s="68">
        <f t="shared" si="135"/>
        <v>7750</v>
      </c>
    </row>
    <row r="685" spans="2:19" x14ac:dyDescent="0.2">
      <c r="B685" s="48">
        <f t="shared" si="127"/>
        <v>231</v>
      </c>
      <c r="C685" s="11"/>
      <c r="D685" s="11"/>
      <c r="E685" s="11"/>
      <c r="F685" s="65"/>
      <c r="G685" s="10">
        <v>637</v>
      </c>
      <c r="H685" s="11" t="s">
        <v>123</v>
      </c>
      <c r="I685" s="66">
        <f>6500+120+300+500+4300+390+180+3720+1500</f>
        <v>17510</v>
      </c>
      <c r="J685" s="66"/>
      <c r="K685" s="66">
        <f t="shared" si="128"/>
        <v>17510</v>
      </c>
      <c r="L685" s="66"/>
      <c r="M685" s="66"/>
      <c r="N685" s="66"/>
      <c r="O685" s="66">
        <f t="shared" si="129"/>
        <v>0</v>
      </c>
      <c r="P685" s="67"/>
      <c r="Q685" s="68">
        <f t="shared" si="133"/>
        <v>17510</v>
      </c>
      <c r="R685" s="68">
        <f t="shared" si="134"/>
        <v>0</v>
      </c>
      <c r="S685" s="68">
        <f t="shared" si="135"/>
        <v>17510</v>
      </c>
    </row>
    <row r="686" spans="2:19" s="79" customFormat="1" x14ac:dyDescent="0.2">
      <c r="B686" s="48">
        <f t="shared" si="127"/>
        <v>232</v>
      </c>
      <c r="C686" s="9"/>
      <c r="D686" s="9"/>
      <c r="E686" s="9"/>
      <c r="F686" s="61" t="s">
        <v>120</v>
      </c>
      <c r="G686" s="8">
        <v>640</v>
      </c>
      <c r="H686" s="9" t="s">
        <v>130</v>
      </c>
      <c r="I686" s="62">
        <v>1750</v>
      </c>
      <c r="J686" s="62"/>
      <c r="K686" s="62">
        <f t="shared" si="128"/>
        <v>1750</v>
      </c>
      <c r="L686" s="62"/>
      <c r="M686" s="62"/>
      <c r="N686" s="62"/>
      <c r="O686" s="62">
        <f t="shared" si="129"/>
        <v>0</v>
      </c>
      <c r="P686" s="63"/>
      <c r="Q686" s="64">
        <f t="shared" si="133"/>
        <v>1750</v>
      </c>
      <c r="R686" s="64">
        <f t="shared" si="134"/>
        <v>0</v>
      </c>
      <c r="S686" s="64">
        <f t="shared" si="135"/>
        <v>1750</v>
      </c>
    </row>
    <row r="687" spans="2:19" x14ac:dyDescent="0.2">
      <c r="B687" s="48">
        <f t="shared" si="127"/>
        <v>233</v>
      </c>
      <c r="C687" s="9"/>
      <c r="D687" s="9"/>
      <c r="E687" s="9"/>
      <c r="F687" s="61" t="s">
        <v>109</v>
      </c>
      <c r="G687" s="8">
        <v>610</v>
      </c>
      <c r="H687" s="9" t="s">
        <v>132</v>
      </c>
      <c r="I687" s="62">
        <f>32000+500+45077+34900+21423+43000+2000+565000+100</f>
        <v>744000</v>
      </c>
      <c r="J687" s="62">
        <v>53456</v>
      </c>
      <c r="K687" s="62">
        <f t="shared" si="128"/>
        <v>797456</v>
      </c>
      <c r="L687" s="62"/>
      <c r="M687" s="62"/>
      <c r="N687" s="62"/>
      <c r="O687" s="62">
        <f t="shared" si="129"/>
        <v>0</v>
      </c>
      <c r="P687" s="63"/>
      <c r="Q687" s="64">
        <f t="shared" si="133"/>
        <v>744000</v>
      </c>
      <c r="R687" s="64">
        <f t="shared" si="134"/>
        <v>53456</v>
      </c>
      <c r="S687" s="64">
        <f t="shared" si="135"/>
        <v>797456</v>
      </c>
    </row>
    <row r="688" spans="2:19" x14ac:dyDescent="0.2">
      <c r="B688" s="48">
        <f t="shared" si="127"/>
        <v>234</v>
      </c>
      <c r="C688" s="9"/>
      <c r="D688" s="9"/>
      <c r="E688" s="9"/>
      <c r="F688" s="61" t="s">
        <v>109</v>
      </c>
      <c r="G688" s="8">
        <v>620</v>
      </c>
      <c r="H688" s="9" t="s">
        <v>125</v>
      </c>
      <c r="I688" s="62">
        <f>32252+3270+20370+2100+54000+5200+13580+1380+6790+690+9506+1000+95060+9660+13900+1700+5432+550+35</f>
        <v>276475</v>
      </c>
      <c r="J688" s="62">
        <v>19717</v>
      </c>
      <c r="K688" s="62">
        <f t="shared" si="128"/>
        <v>296192</v>
      </c>
      <c r="L688" s="62"/>
      <c r="M688" s="62"/>
      <c r="N688" s="62"/>
      <c r="O688" s="62">
        <f t="shared" si="129"/>
        <v>0</v>
      </c>
      <c r="P688" s="63"/>
      <c r="Q688" s="64">
        <f t="shared" si="133"/>
        <v>276475</v>
      </c>
      <c r="R688" s="64">
        <f t="shared" si="134"/>
        <v>19717</v>
      </c>
      <c r="S688" s="64">
        <f t="shared" si="135"/>
        <v>296192</v>
      </c>
    </row>
    <row r="689" spans="2:19" x14ac:dyDescent="0.2">
      <c r="B689" s="48">
        <f t="shared" si="127"/>
        <v>235</v>
      </c>
      <c r="C689" s="9"/>
      <c r="D689" s="9"/>
      <c r="E689" s="9"/>
      <c r="F689" s="61" t="s">
        <v>109</v>
      </c>
      <c r="G689" s="8">
        <v>630</v>
      </c>
      <c r="H689" s="9" t="s">
        <v>122</v>
      </c>
      <c r="I689" s="62">
        <f>I695+I694+I693+I692+I691+I690</f>
        <v>117480</v>
      </c>
      <c r="J689" s="62">
        <f>J695+J694+J693+J692+J691+J690</f>
        <v>2500</v>
      </c>
      <c r="K689" s="62">
        <f t="shared" si="128"/>
        <v>119980</v>
      </c>
      <c r="L689" s="62"/>
      <c r="M689" s="62"/>
      <c r="N689" s="62"/>
      <c r="O689" s="62">
        <f t="shared" si="129"/>
        <v>0</v>
      </c>
      <c r="P689" s="63"/>
      <c r="Q689" s="64">
        <f t="shared" si="133"/>
        <v>117480</v>
      </c>
      <c r="R689" s="64">
        <f t="shared" si="134"/>
        <v>2500</v>
      </c>
      <c r="S689" s="64">
        <f t="shared" si="135"/>
        <v>119980</v>
      </c>
    </row>
    <row r="690" spans="2:19" x14ac:dyDescent="0.2">
      <c r="B690" s="48">
        <f t="shared" si="127"/>
        <v>236</v>
      </c>
      <c r="C690" s="11"/>
      <c r="D690" s="11"/>
      <c r="E690" s="11"/>
      <c r="F690" s="65"/>
      <c r="G690" s="10">
        <v>631</v>
      </c>
      <c r="H690" s="11" t="s">
        <v>128</v>
      </c>
      <c r="I690" s="66">
        <v>900</v>
      </c>
      <c r="J690" s="66"/>
      <c r="K690" s="66">
        <f t="shared" si="128"/>
        <v>900</v>
      </c>
      <c r="L690" s="66"/>
      <c r="M690" s="66"/>
      <c r="N690" s="66"/>
      <c r="O690" s="66">
        <f t="shared" si="129"/>
        <v>0</v>
      </c>
      <c r="P690" s="67"/>
      <c r="Q690" s="68">
        <f t="shared" si="133"/>
        <v>900</v>
      </c>
      <c r="R690" s="68">
        <f t="shared" si="134"/>
        <v>0</v>
      </c>
      <c r="S690" s="68">
        <f t="shared" si="135"/>
        <v>900</v>
      </c>
    </row>
    <row r="691" spans="2:19" x14ac:dyDescent="0.2">
      <c r="B691" s="48">
        <f t="shared" si="127"/>
        <v>237</v>
      </c>
      <c r="C691" s="11"/>
      <c r="D691" s="11"/>
      <c r="E691" s="11"/>
      <c r="F691" s="65"/>
      <c r="G691" s="10">
        <v>632</v>
      </c>
      <c r="H691" s="11" t="s">
        <v>135</v>
      </c>
      <c r="I691" s="66">
        <f>600+40500+2200+250+300</f>
        <v>43850</v>
      </c>
      <c r="J691" s="66"/>
      <c r="K691" s="66">
        <f t="shared" si="128"/>
        <v>43850</v>
      </c>
      <c r="L691" s="66"/>
      <c r="M691" s="66"/>
      <c r="N691" s="66"/>
      <c r="O691" s="66">
        <f t="shared" si="129"/>
        <v>0</v>
      </c>
      <c r="P691" s="67"/>
      <c r="Q691" s="68">
        <f t="shared" si="133"/>
        <v>43850</v>
      </c>
      <c r="R691" s="68">
        <f t="shared" si="134"/>
        <v>0</v>
      </c>
      <c r="S691" s="68">
        <f t="shared" si="135"/>
        <v>43850</v>
      </c>
    </row>
    <row r="692" spans="2:19" x14ac:dyDescent="0.2">
      <c r="B692" s="48">
        <f t="shared" si="127"/>
        <v>238</v>
      </c>
      <c r="C692" s="11"/>
      <c r="D692" s="11"/>
      <c r="E692" s="11"/>
      <c r="F692" s="65"/>
      <c r="G692" s="10">
        <v>633</v>
      </c>
      <c r="H692" s="11" t="s">
        <v>126</v>
      </c>
      <c r="I692" s="66">
        <f>50+450+1550+7500+3750+1650</f>
        <v>14950</v>
      </c>
      <c r="J692" s="66">
        <v>1200</v>
      </c>
      <c r="K692" s="66">
        <f t="shared" si="128"/>
        <v>16150</v>
      </c>
      <c r="L692" s="66"/>
      <c r="M692" s="66"/>
      <c r="N692" s="66"/>
      <c r="O692" s="66">
        <f t="shared" si="129"/>
        <v>0</v>
      </c>
      <c r="P692" s="67"/>
      <c r="Q692" s="68">
        <f t="shared" si="133"/>
        <v>14950</v>
      </c>
      <c r="R692" s="68">
        <f t="shared" si="134"/>
        <v>1200</v>
      </c>
      <c r="S692" s="68">
        <f t="shared" si="135"/>
        <v>16150</v>
      </c>
    </row>
    <row r="693" spans="2:19" x14ac:dyDescent="0.2">
      <c r="B693" s="48">
        <f t="shared" si="127"/>
        <v>239</v>
      </c>
      <c r="C693" s="11"/>
      <c r="D693" s="11"/>
      <c r="E693" s="11"/>
      <c r="F693" s="65"/>
      <c r="G693" s="10">
        <v>634</v>
      </c>
      <c r="H693" s="11" t="s">
        <v>133</v>
      </c>
      <c r="I693" s="66">
        <v>1100</v>
      </c>
      <c r="J693" s="66"/>
      <c r="K693" s="66">
        <f t="shared" si="128"/>
        <v>1100</v>
      </c>
      <c r="L693" s="66"/>
      <c r="M693" s="66"/>
      <c r="N693" s="66"/>
      <c r="O693" s="66">
        <f t="shared" si="129"/>
        <v>0</v>
      </c>
      <c r="P693" s="67"/>
      <c r="Q693" s="68">
        <f t="shared" si="133"/>
        <v>1100</v>
      </c>
      <c r="R693" s="68">
        <f t="shared" si="134"/>
        <v>0</v>
      </c>
      <c r="S693" s="68">
        <f t="shared" si="135"/>
        <v>1100</v>
      </c>
    </row>
    <row r="694" spans="2:19" x14ac:dyDescent="0.2">
      <c r="B694" s="48">
        <f t="shared" si="127"/>
        <v>240</v>
      </c>
      <c r="C694" s="11"/>
      <c r="D694" s="11"/>
      <c r="E694" s="11"/>
      <c r="F694" s="65"/>
      <c r="G694" s="10">
        <v>635</v>
      </c>
      <c r="H694" s="11" t="s">
        <v>134</v>
      </c>
      <c r="I694" s="66">
        <f>1200+780+9800+5000</f>
        <v>16780</v>
      </c>
      <c r="J694" s="66"/>
      <c r="K694" s="66">
        <f t="shared" si="128"/>
        <v>16780</v>
      </c>
      <c r="L694" s="66"/>
      <c r="M694" s="66"/>
      <c r="N694" s="66"/>
      <c r="O694" s="66">
        <f t="shared" si="129"/>
        <v>0</v>
      </c>
      <c r="P694" s="67"/>
      <c r="Q694" s="68">
        <f t="shared" si="133"/>
        <v>16780</v>
      </c>
      <c r="R694" s="68">
        <f t="shared" si="134"/>
        <v>0</v>
      </c>
      <c r="S694" s="68">
        <f t="shared" si="135"/>
        <v>16780</v>
      </c>
    </row>
    <row r="695" spans="2:19" x14ac:dyDescent="0.2">
      <c r="B695" s="48">
        <f t="shared" si="127"/>
        <v>241</v>
      </c>
      <c r="C695" s="11"/>
      <c r="D695" s="11"/>
      <c r="E695" s="11"/>
      <c r="F695" s="65"/>
      <c r="G695" s="10">
        <v>637</v>
      </c>
      <c r="H695" s="11" t="s">
        <v>123</v>
      </c>
      <c r="I695" s="66">
        <f>18000+1000+120+700+700+650+8000+150+7000+380+1200+2000</f>
        <v>39900</v>
      </c>
      <c r="J695" s="66">
        <v>1300</v>
      </c>
      <c r="K695" s="66">
        <f t="shared" si="128"/>
        <v>41200</v>
      </c>
      <c r="L695" s="66"/>
      <c r="M695" s="66"/>
      <c r="N695" s="66"/>
      <c r="O695" s="66">
        <f t="shared" si="129"/>
        <v>0</v>
      </c>
      <c r="P695" s="67"/>
      <c r="Q695" s="68">
        <f t="shared" si="133"/>
        <v>39900</v>
      </c>
      <c r="R695" s="68">
        <f t="shared" si="134"/>
        <v>1300</v>
      </c>
      <c r="S695" s="68">
        <f t="shared" si="135"/>
        <v>41200</v>
      </c>
    </row>
    <row r="696" spans="2:19" x14ac:dyDescent="0.2">
      <c r="B696" s="48">
        <f t="shared" si="127"/>
        <v>242</v>
      </c>
      <c r="C696" s="9"/>
      <c r="D696" s="9"/>
      <c r="E696" s="9"/>
      <c r="F696" s="61" t="s">
        <v>109</v>
      </c>
      <c r="G696" s="8">
        <v>640</v>
      </c>
      <c r="H696" s="9" t="s">
        <v>130</v>
      </c>
      <c r="I696" s="62">
        <v>2000</v>
      </c>
      <c r="J696" s="62"/>
      <c r="K696" s="62">
        <f t="shared" si="128"/>
        <v>2000</v>
      </c>
      <c r="L696" s="62"/>
      <c r="M696" s="62"/>
      <c r="N696" s="62"/>
      <c r="O696" s="62">
        <f t="shared" si="129"/>
        <v>0</v>
      </c>
      <c r="P696" s="63"/>
      <c r="Q696" s="64">
        <f t="shared" si="133"/>
        <v>2000</v>
      </c>
      <c r="R696" s="64">
        <f t="shared" si="134"/>
        <v>0</v>
      </c>
      <c r="S696" s="64">
        <f t="shared" si="135"/>
        <v>2000</v>
      </c>
    </row>
    <row r="697" spans="2:19" x14ac:dyDescent="0.2">
      <c r="B697" s="48">
        <f t="shared" si="127"/>
        <v>243</v>
      </c>
      <c r="C697" s="9"/>
      <c r="D697" s="9"/>
      <c r="E697" s="9"/>
      <c r="F697" s="61"/>
      <c r="G697" s="8">
        <v>600</v>
      </c>
      <c r="H697" s="9" t="s">
        <v>607</v>
      </c>
      <c r="I697" s="62">
        <v>0</v>
      </c>
      <c r="J697" s="62">
        <v>46033</v>
      </c>
      <c r="K697" s="62">
        <f>I697+J697</f>
        <v>46033</v>
      </c>
      <c r="L697" s="62"/>
      <c r="M697" s="62"/>
      <c r="N697" s="62"/>
      <c r="O697" s="62">
        <f>M697+N697</f>
        <v>0</v>
      </c>
      <c r="P697" s="63"/>
      <c r="Q697" s="64">
        <f t="shared" si="133"/>
        <v>0</v>
      </c>
      <c r="R697" s="64">
        <f t="shared" si="134"/>
        <v>46033</v>
      </c>
      <c r="S697" s="64">
        <f t="shared" si="135"/>
        <v>46033</v>
      </c>
    </row>
    <row r="698" spans="2:19" x14ac:dyDescent="0.2">
      <c r="B698" s="48">
        <f t="shared" si="127"/>
        <v>244</v>
      </c>
      <c r="C698" s="9"/>
      <c r="D698" s="9"/>
      <c r="E698" s="9"/>
      <c r="F698" s="61" t="s">
        <v>109</v>
      </c>
      <c r="G698" s="8">
        <v>710</v>
      </c>
      <c r="H698" s="9" t="s">
        <v>176</v>
      </c>
      <c r="I698" s="62"/>
      <c r="J698" s="62"/>
      <c r="K698" s="62">
        <f t="shared" si="128"/>
        <v>0</v>
      </c>
      <c r="L698" s="62"/>
      <c r="M698" s="62">
        <f>M699</f>
        <v>1431200</v>
      </c>
      <c r="N698" s="62">
        <f>N699</f>
        <v>0</v>
      </c>
      <c r="O698" s="62">
        <f t="shared" si="129"/>
        <v>1431200</v>
      </c>
      <c r="P698" s="63"/>
      <c r="Q698" s="64">
        <f t="shared" si="133"/>
        <v>1431200</v>
      </c>
      <c r="R698" s="64">
        <f t="shared" si="134"/>
        <v>0</v>
      </c>
      <c r="S698" s="64">
        <f t="shared" si="135"/>
        <v>1431200</v>
      </c>
    </row>
    <row r="699" spans="2:19" x14ac:dyDescent="0.2">
      <c r="B699" s="48">
        <f t="shared" si="127"/>
        <v>245</v>
      </c>
      <c r="C699" s="11"/>
      <c r="D699" s="11"/>
      <c r="E699" s="11"/>
      <c r="F699" s="65"/>
      <c r="G699" s="10">
        <v>717</v>
      </c>
      <c r="H699" s="11" t="s">
        <v>183</v>
      </c>
      <c r="I699" s="66"/>
      <c r="J699" s="66"/>
      <c r="K699" s="66">
        <f t="shared" si="128"/>
        <v>0</v>
      </c>
      <c r="L699" s="66"/>
      <c r="M699" s="66">
        <f>SUM(M700:M700)</f>
        <v>1431200</v>
      </c>
      <c r="N699" s="66">
        <f>SUM(N700:N700)</f>
        <v>0</v>
      </c>
      <c r="O699" s="66">
        <f t="shared" si="129"/>
        <v>1431200</v>
      </c>
      <c r="P699" s="67"/>
      <c r="Q699" s="68">
        <f t="shared" si="133"/>
        <v>1431200</v>
      </c>
      <c r="R699" s="68">
        <f t="shared" si="134"/>
        <v>0</v>
      </c>
      <c r="S699" s="68">
        <f t="shared" si="135"/>
        <v>1431200</v>
      </c>
    </row>
    <row r="700" spans="2:19" x14ac:dyDescent="0.2">
      <c r="B700" s="48">
        <f t="shared" si="127"/>
        <v>246</v>
      </c>
      <c r="C700" s="13"/>
      <c r="D700" s="13"/>
      <c r="E700" s="13"/>
      <c r="F700" s="188"/>
      <c r="G700" s="82"/>
      <c r="H700" s="13" t="s">
        <v>487</v>
      </c>
      <c r="I700" s="83"/>
      <c r="J700" s="83"/>
      <c r="K700" s="83">
        <f>I700+J700</f>
        <v>0</v>
      </c>
      <c r="L700" s="83"/>
      <c r="M700" s="83">
        <v>1431200</v>
      </c>
      <c r="N700" s="83"/>
      <c r="O700" s="83">
        <f t="shared" si="129"/>
        <v>1431200</v>
      </c>
      <c r="P700" s="84"/>
      <c r="Q700" s="85">
        <f t="shared" si="133"/>
        <v>1431200</v>
      </c>
      <c r="R700" s="85">
        <f t="shared" si="134"/>
        <v>0</v>
      </c>
      <c r="S700" s="85">
        <f t="shared" si="135"/>
        <v>1431200</v>
      </c>
    </row>
    <row r="701" spans="2:19" ht="15" x14ac:dyDescent="0.25">
      <c r="B701" s="48">
        <f t="shared" si="127"/>
        <v>247</v>
      </c>
      <c r="C701" s="166"/>
      <c r="D701" s="166"/>
      <c r="E701" s="166">
        <v>8</v>
      </c>
      <c r="F701" s="167"/>
      <c r="G701" s="167"/>
      <c r="H701" s="166" t="s">
        <v>6</v>
      </c>
      <c r="I701" s="168">
        <f>I702+I703+I704+I711+I712+I713+I714+I721</f>
        <v>2883138</v>
      </c>
      <c r="J701" s="168">
        <f>J702+J703+J704+J711+J712+J713+J714+J721+J722</f>
        <v>-85877</v>
      </c>
      <c r="K701" s="168">
        <f>I701+J701</f>
        <v>2797261</v>
      </c>
      <c r="L701" s="58"/>
      <c r="M701" s="168"/>
      <c r="N701" s="168">
        <f>N723</f>
        <v>35000</v>
      </c>
      <c r="O701" s="168">
        <f t="shared" si="129"/>
        <v>35000</v>
      </c>
      <c r="P701" s="59"/>
      <c r="Q701" s="169">
        <f t="shared" si="133"/>
        <v>2883138</v>
      </c>
      <c r="R701" s="169">
        <f t="shared" si="134"/>
        <v>-50877</v>
      </c>
      <c r="S701" s="169">
        <f t="shared" si="135"/>
        <v>2832261</v>
      </c>
    </row>
    <row r="702" spans="2:19" x14ac:dyDescent="0.2">
      <c r="B702" s="48">
        <f t="shared" si="127"/>
        <v>248</v>
      </c>
      <c r="C702" s="9"/>
      <c r="D702" s="9"/>
      <c r="E702" s="9"/>
      <c r="F702" s="61" t="s">
        <v>120</v>
      </c>
      <c r="G702" s="8">
        <v>610</v>
      </c>
      <c r="H702" s="9" t="s">
        <v>132</v>
      </c>
      <c r="I702" s="62">
        <v>537270</v>
      </c>
      <c r="J702" s="62">
        <v>-35000</v>
      </c>
      <c r="K702" s="62">
        <f>I702+J702</f>
        <v>502270</v>
      </c>
      <c r="L702" s="62"/>
      <c r="M702" s="62"/>
      <c r="N702" s="62"/>
      <c r="O702" s="62">
        <f t="shared" si="129"/>
        <v>0</v>
      </c>
      <c r="P702" s="63"/>
      <c r="Q702" s="64">
        <f t="shared" si="133"/>
        <v>537270</v>
      </c>
      <c r="R702" s="64">
        <f t="shared" si="134"/>
        <v>-35000</v>
      </c>
      <c r="S702" s="64">
        <f t="shared" si="135"/>
        <v>502270</v>
      </c>
    </row>
    <row r="703" spans="2:19" ht="13.5" customHeight="1" x14ac:dyDescent="0.2">
      <c r="B703" s="48">
        <f t="shared" si="127"/>
        <v>249</v>
      </c>
      <c r="C703" s="9"/>
      <c r="D703" s="9"/>
      <c r="E703" s="9"/>
      <c r="F703" s="61" t="s">
        <v>120</v>
      </c>
      <c r="G703" s="8">
        <v>620</v>
      </c>
      <c r="H703" s="9" t="s">
        <v>125</v>
      </c>
      <c r="I703" s="62">
        <v>189515</v>
      </c>
      <c r="J703" s="62">
        <v>-13000</v>
      </c>
      <c r="K703" s="62">
        <f t="shared" si="128"/>
        <v>176515</v>
      </c>
      <c r="L703" s="62"/>
      <c r="M703" s="62"/>
      <c r="N703" s="62"/>
      <c r="O703" s="62">
        <f t="shared" si="129"/>
        <v>0</v>
      </c>
      <c r="P703" s="63"/>
      <c r="Q703" s="64">
        <f t="shared" si="133"/>
        <v>189515</v>
      </c>
      <c r="R703" s="64">
        <f t="shared" si="134"/>
        <v>-13000</v>
      </c>
      <c r="S703" s="64">
        <f t="shared" si="135"/>
        <v>176515</v>
      </c>
    </row>
    <row r="704" spans="2:19" ht="12.75" customHeight="1" x14ac:dyDescent="0.2">
      <c r="B704" s="48">
        <f t="shared" si="127"/>
        <v>250</v>
      </c>
      <c r="C704" s="9"/>
      <c r="D704" s="9"/>
      <c r="E704" s="9"/>
      <c r="F704" s="61" t="s">
        <v>120</v>
      </c>
      <c r="G704" s="8">
        <v>630</v>
      </c>
      <c r="H704" s="9" t="s">
        <v>122</v>
      </c>
      <c r="I704" s="62">
        <f>I710+I709+I708+I707+I706+I705</f>
        <v>95580</v>
      </c>
      <c r="J704" s="62">
        <f>J710+J709+J708+J707+J706+J705</f>
        <v>0</v>
      </c>
      <c r="K704" s="62">
        <f t="shared" si="128"/>
        <v>95580</v>
      </c>
      <c r="L704" s="62"/>
      <c r="M704" s="62"/>
      <c r="N704" s="62"/>
      <c r="O704" s="62">
        <f t="shared" si="129"/>
        <v>0</v>
      </c>
      <c r="P704" s="63"/>
      <c r="Q704" s="64">
        <f t="shared" si="133"/>
        <v>95580</v>
      </c>
      <c r="R704" s="64">
        <f t="shared" si="134"/>
        <v>0</v>
      </c>
      <c r="S704" s="64">
        <f t="shared" si="135"/>
        <v>95580</v>
      </c>
    </row>
    <row r="705" spans="2:19" x14ac:dyDescent="0.2">
      <c r="B705" s="48">
        <f t="shared" si="127"/>
        <v>251</v>
      </c>
      <c r="C705" s="11"/>
      <c r="D705" s="11"/>
      <c r="E705" s="11"/>
      <c r="F705" s="65"/>
      <c r="G705" s="10">
        <v>631</v>
      </c>
      <c r="H705" s="11" t="s">
        <v>128</v>
      </c>
      <c r="I705" s="66">
        <v>100</v>
      </c>
      <c r="J705" s="66"/>
      <c r="K705" s="66">
        <f t="shared" si="128"/>
        <v>100</v>
      </c>
      <c r="L705" s="66"/>
      <c r="M705" s="66"/>
      <c r="N705" s="66"/>
      <c r="O705" s="66">
        <f t="shared" si="129"/>
        <v>0</v>
      </c>
      <c r="P705" s="67"/>
      <c r="Q705" s="68">
        <f t="shared" si="133"/>
        <v>100</v>
      </c>
      <c r="R705" s="68">
        <f t="shared" si="134"/>
        <v>0</v>
      </c>
      <c r="S705" s="68">
        <f t="shared" si="135"/>
        <v>100</v>
      </c>
    </row>
    <row r="706" spans="2:19" x14ac:dyDescent="0.2">
      <c r="B706" s="48">
        <f t="shared" si="127"/>
        <v>252</v>
      </c>
      <c r="C706" s="11"/>
      <c r="D706" s="11"/>
      <c r="E706" s="11"/>
      <c r="F706" s="65"/>
      <c r="G706" s="10">
        <v>632</v>
      </c>
      <c r="H706" s="11" t="s">
        <v>135</v>
      </c>
      <c r="I706" s="66">
        <f>1500+10000+30000+1400+2000+1000+250</f>
        <v>46150</v>
      </c>
      <c r="J706" s="66"/>
      <c r="K706" s="66">
        <f t="shared" si="128"/>
        <v>46150</v>
      </c>
      <c r="L706" s="66"/>
      <c r="M706" s="66"/>
      <c r="N706" s="66"/>
      <c r="O706" s="66">
        <f t="shared" si="129"/>
        <v>0</v>
      </c>
      <c r="P706" s="67"/>
      <c r="Q706" s="68">
        <f t="shared" si="133"/>
        <v>46150</v>
      </c>
      <c r="R706" s="68">
        <f t="shared" si="134"/>
        <v>0</v>
      </c>
      <c r="S706" s="68">
        <f t="shared" si="135"/>
        <v>46150</v>
      </c>
    </row>
    <row r="707" spans="2:19" x14ac:dyDescent="0.2">
      <c r="B707" s="48">
        <f t="shared" si="127"/>
        <v>253</v>
      </c>
      <c r="C707" s="11"/>
      <c r="D707" s="11"/>
      <c r="E707" s="11"/>
      <c r="F707" s="65"/>
      <c r="G707" s="10">
        <v>633</v>
      </c>
      <c r="H707" s="11" t="s">
        <v>126</v>
      </c>
      <c r="I707" s="66">
        <f>780+600+800+150+2000+500+200+800+300+300+250+100+1000+1200+200</f>
        <v>9180</v>
      </c>
      <c r="J707" s="66"/>
      <c r="K707" s="66">
        <f t="shared" si="128"/>
        <v>9180</v>
      </c>
      <c r="L707" s="66"/>
      <c r="M707" s="66"/>
      <c r="N707" s="66"/>
      <c r="O707" s="66">
        <f t="shared" si="129"/>
        <v>0</v>
      </c>
      <c r="P707" s="67"/>
      <c r="Q707" s="68">
        <f t="shared" si="133"/>
        <v>9180</v>
      </c>
      <c r="R707" s="68">
        <f t="shared" si="134"/>
        <v>0</v>
      </c>
      <c r="S707" s="68">
        <f t="shared" si="135"/>
        <v>9180</v>
      </c>
    </row>
    <row r="708" spans="2:19" x14ac:dyDescent="0.2">
      <c r="B708" s="48">
        <f t="shared" si="127"/>
        <v>254</v>
      </c>
      <c r="C708" s="11"/>
      <c r="D708" s="11"/>
      <c r="E708" s="11"/>
      <c r="F708" s="65"/>
      <c r="G708" s="10">
        <v>635</v>
      </c>
      <c r="H708" s="11" t="s">
        <v>134</v>
      </c>
      <c r="I708" s="66">
        <f>4000+350+400+250+350</f>
        <v>5350</v>
      </c>
      <c r="J708" s="66"/>
      <c r="K708" s="66">
        <f t="shared" si="128"/>
        <v>5350</v>
      </c>
      <c r="L708" s="66"/>
      <c r="M708" s="66"/>
      <c r="N708" s="66"/>
      <c r="O708" s="66">
        <f t="shared" si="129"/>
        <v>0</v>
      </c>
      <c r="P708" s="67"/>
      <c r="Q708" s="68">
        <f t="shared" si="133"/>
        <v>5350</v>
      </c>
      <c r="R708" s="68">
        <f t="shared" si="134"/>
        <v>0</v>
      </c>
      <c r="S708" s="68">
        <f t="shared" si="135"/>
        <v>5350</v>
      </c>
    </row>
    <row r="709" spans="2:19" x14ac:dyDescent="0.2">
      <c r="B709" s="48">
        <f t="shared" si="127"/>
        <v>255</v>
      </c>
      <c r="C709" s="11"/>
      <c r="D709" s="11"/>
      <c r="E709" s="11"/>
      <c r="F709" s="65"/>
      <c r="G709" s="10">
        <v>636</v>
      </c>
      <c r="H709" s="11" t="s">
        <v>127</v>
      </c>
      <c r="I709" s="66">
        <v>1600</v>
      </c>
      <c r="J709" s="66"/>
      <c r="K709" s="66">
        <f t="shared" si="128"/>
        <v>1600</v>
      </c>
      <c r="L709" s="66"/>
      <c r="M709" s="66"/>
      <c r="N709" s="66"/>
      <c r="O709" s="66">
        <f t="shared" si="129"/>
        <v>0</v>
      </c>
      <c r="P709" s="67"/>
      <c r="Q709" s="68">
        <f t="shared" si="133"/>
        <v>1600</v>
      </c>
      <c r="R709" s="68">
        <f t="shared" si="134"/>
        <v>0</v>
      </c>
      <c r="S709" s="68">
        <f t="shared" si="135"/>
        <v>1600</v>
      </c>
    </row>
    <row r="710" spans="2:19" x14ac:dyDescent="0.2">
      <c r="B710" s="48">
        <f t="shared" si="127"/>
        <v>256</v>
      </c>
      <c r="C710" s="11"/>
      <c r="D710" s="11"/>
      <c r="E710" s="11"/>
      <c r="F710" s="65"/>
      <c r="G710" s="10">
        <v>637</v>
      </c>
      <c r="H710" s="11" t="s">
        <v>123</v>
      </c>
      <c r="I710" s="66">
        <f>250+450+100+350+400+150+10000+9000+1300+8000+1200+2000</f>
        <v>33200</v>
      </c>
      <c r="J710" s="66"/>
      <c r="K710" s="66">
        <f t="shared" si="128"/>
        <v>33200</v>
      </c>
      <c r="L710" s="66"/>
      <c r="M710" s="66"/>
      <c r="N710" s="66"/>
      <c r="O710" s="66">
        <f t="shared" si="129"/>
        <v>0</v>
      </c>
      <c r="P710" s="67"/>
      <c r="Q710" s="68">
        <f t="shared" ref="Q710:Q741" si="136">I710+M710</f>
        <v>33200</v>
      </c>
      <c r="R710" s="68">
        <f t="shared" ref="R710:R741" si="137">J710+N710</f>
        <v>0</v>
      </c>
      <c r="S710" s="68">
        <f t="shared" ref="S710:S741" si="138">K710+O710</f>
        <v>33200</v>
      </c>
    </row>
    <row r="711" spans="2:19" x14ac:dyDescent="0.2">
      <c r="B711" s="48">
        <f t="shared" si="127"/>
        <v>257</v>
      </c>
      <c r="C711" s="9"/>
      <c r="D711" s="9"/>
      <c r="E711" s="9"/>
      <c r="F711" s="61" t="s">
        <v>120</v>
      </c>
      <c r="G711" s="8">
        <v>640</v>
      </c>
      <c r="H711" s="9" t="s">
        <v>130</v>
      </c>
      <c r="I711" s="62">
        <f>9240+1200+600+4000</f>
        <v>15040</v>
      </c>
      <c r="J711" s="62"/>
      <c r="K711" s="62">
        <f t="shared" si="128"/>
        <v>15040</v>
      </c>
      <c r="L711" s="62"/>
      <c r="M711" s="62"/>
      <c r="N711" s="62"/>
      <c r="O711" s="62">
        <f t="shared" si="129"/>
        <v>0</v>
      </c>
      <c r="P711" s="63"/>
      <c r="Q711" s="64">
        <f t="shared" si="136"/>
        <v>15040</v>
      </c>
      <c r="R711" s="64">
        <f t="shared" si="137"/>
        <v>0</v>
      </c>
      <c r="S711" s="64">
        <f t="shared" si="138"/>
        <v>15040</v>
      </c>
    </row>
    <row r="712" spans="2:19" x14ac:dyDescent="0.2">
      <c r="B712" s="48">
        <f t="shared" si="127"/>
        <v>258</v>
      </c>
      <c r="C712" s="9"/>
      <c r="D712" s="9"/>
      <c r="E712" s="9"/>
      <c r="F712" s="61" t="s">
        <v>109</v>
      </c>
      <c r="G712" s="8">
        <v>610</v>
      </c>
      <c r="H712" s="9" t="s">
        <v>132</v>
      </c>
      <c r="I712" s="62">
        <f>1104725+100</f>
        <v>1104825</v>
      </c>
      <c r="J712" s="62">
        <v>-46960</v>
      </c>
      <c r="K712" s="62">
        <f t="shared" si="128"/>
        <v>1057865</v>
      </c>
      <c r="L712" s="62"/>
      <c r="M712" s="62"/>
      <c r="N712" s="62"/>
      <c r="O712" s="62">
        <f t="shared" si="129"/>
        <v>0</v>
      </c>
      <c r="P712" s="63"/>
      <c r="Q712" s="64">
        <f t="shared" si="136"/>
        <v>1104825</v>
      </c>
      <c r="R712" s="64">
        <f t="shared" si="137"/>
        <v>-46960</v>
      </c>
      <c r="S712" s="64">
        <f t="shared" si="138"/>
        <v>1057865</v>
      </c>
    </row>
    <row r="713" spans="2:19" x14ac:dyDescent="0.2">
      <c r="B713" s="48">
        <f t="shared" si="127"/>
        <v>259</v>
      </c>
      <c r="C713" s="9"/>
      <c r="D713" s="9"/>
      <c r="E713" s="9"/>
      <c r="F713" s="61" t="s">
        <v>109</v>
      </c>
      <c r="G713" s="8">
        <v>620</v>
      </c>
      <c r="H713" s="9" t="s">
        <v>125</v>
      </c>
      <c r="I713" s="62">
        <f>399295+35</f>
        <v>399330</v>
      </c>
      <c r="J713" s="62">
        <v>-17323</v>
      </c>
      <c r="K713" s="62">
        <f t="shared" si="128"/>
        <v>382007</v>
      </c>
      <c r="L713" s="62"/>
      <c r="M713" s="62"/>
      <c r="N713" s="62"/>
      <c r="O713" s="62">
        <f t="shared" si="129"/>
        <v>0</v>
      </c>
      <c r="P713" s="63"/>
      <c r="Q713" s="64">
        <f t="shared" si="136"/>
        <v>399330</v>
      </c>
      <c r="R713" s="64">
        <f t="shared" si="137"/>
        <v>-17323</v>
      </c>
      <c r="S713" s="64">
        <f t="shared" si="138"/>
        <v>382007</v>
      </c>
    </row>
    <row r="714" spans="2:19" x14ac:dyDescent="0.2">
      <c r="B714" s="48">
        <f t="shared" si="127"/>
        <v>260</v>
      </c>
      <c r="C714" s="9"/>
      <c r="D714" s="9"/>
      <c r="E714" s="9"/>
      <c r="F714" s="61" t="s">
        <v>109</v>
      </c>
      <c r="G714" s="8">
        <v>630</v>
      </c>
      <c r="H714" s="9" t="s">
        <v>122</v>
      </c>
      <c r="I714" s="62">
        <f>SUM(I715:I720)</f>
        <v>517008</v>
      </c>
      <c r="J714" s="62">
        <f>SUM(J715:J720)</f>
        <v>-27400</v>
      </c>
      <c r="K714" s="62">
        <f t="shared" si="128"/>
        <v>489608</v>
      </c>
      <c r="L714" s="62"/>
      <c r="M714" s="62"/>
      <c r="N714" s="62"/>
      <c r="O714" s="62">
        <f t="shared" si="129"/>
        <v>0</v>
      </c>
      <c r="P714" s="63"/>
      <c r="Q714" s="64">
        <f t="shared" si="136"/>
        <v>517008</v>
      </c>
      <c r="R714" s="64">
        <f t="shared" si="137"/>
        <v>-27400</v>
      </c>
      <c r="S714" s="64">
        <f t="shared" si="138"/>
        <v>489608</v>
      </c>
    </row>
    <row r="715" spans="2:19" x14ac:dyDescent="0.2">
      <c r="B715" s="48">
        <f t="shared" si="127"/>
        <v>261</v>
      </c>
      <c r="C715" s="11"/>
      <c r="D715" s="11"/>
      <c r="E715" s="11"/>
      <c r="F715" s="65"/>
      <c r="G715" s="10">
        <v>631</v>
      </c>
      <c r="H715" s="11" t="s">
        <v>128</v>
      </c>
      <c r="I715" s="66">
        <v>100</v>
      </c>
      <c r="J715" s="66"/>
      <c r="K715" s="66">
        <f t="shared" si="128"/>
        <v>100</v>
      </c>
      <c r="L715" s="66"/>
      <c r="M715" s="66"/>
      <c r="N715" s="66"/>
      <c r="O715" s="66">
        <f t="shared" si="129"/>
        <v>0</v>
      </c>
      <c r="P715" s="67"/>
      <c r="Q715" s="68">
        <f t="shared" si="136"/>
        <v>100</v>
      </c>
      <c r="R715" s="68">
        <f t="shared" si="137"/>
        <v>0</v>
      </c>
      <c r="S715" s="68">
        <f t="shared" si="138"/>
        <v>100</v>
      </c>
    </row>
    <row r="716" spans="2:19" x14ac:dyDescent="0.2">
      <c r="B716" s="48">
        <f t="shared" si="127"/>
        <v>262</v>
      </c>
      <c r="C716" s="11"/>
      <c r="D716" s="11"/>
      <c r="E716" s="11"/>
      <c r="F716" s="65"/>
      <c r="G716" s="10">
        <v>632</v>
      </c>
      <c r="H716" s="11" t="s">
        <v>135</v>
      </c>
      <c r="I716" s="66">
        <f>2600+2300+20000+6400+110000+2800+750+250+1600+93000</f>
        <v>239700</v>
      </c>
      <c r="J716" s="66">
        <v>-25000</v>
      </c>
      <c r="K716" s="66">
        <f t="shared" si="128"/>
        <v>214700</v>
      </c>
      <c r="L716" s="66"/>
      <c r="M716" s="66"/>
      <c r="N716" s="66"/>
      <c r="O716" s="66">
        <f t="shared" si="129"/>
        <v>0</v>
      </c>
      <c r="P716" s="67"/>
      <c r="Q716" s="68">
        <f t="shared" si="136"/>
        <v>239700</v>
      </c>
      <c r="R716" s="68">
        <f t="shared" si="137"/>
        <v>-25000</v>
      </c>
      <c r="S716" s="68">
        <f t="shared" si="138"/>
        <v>214700</v>
      </c>
    </row>
    <row r="717" spans="2:19" x14ac:dyDescent="0.2">
      <c r="B717" s="48">
        <f t="shared" si="127"/>
        <v>263</v>
      </c>
      <c r="C717" s="11"/>
      <c r="D717" s="11"/>
      <c r="E717" s="11"/>
      <c r="F717" s="65"/>
      <c r="G717" s="10">
        <v>633</v>
      </c>
      <c r="H717" s="11" t="s">
        <v>126</v>
      </c>
      <c r="I717" s="66">
        <f>160+4000+800+800+40+300+500+200+300+100+100+139340+1000+1000+200+7753+1000</f>
        <v>157593</v>
      </c>
      <c r="J717" s="66">
        <v>600</v>
      </c>
      <c r="K717" s="66">
        <f t="shared" si="128"/>
        <v>158193</v>
      </c>
      <c r="L717" s="66"/>
      <c r="M717" s="66"/>
      <c r="N717" s="66"/>
      <c r="O717" s="66">
        <f t="shared" si="129"/>
        <v>0</v>
      </c>
      <c r="P717" s="67"/>
      <c r="Q717" s="68">
        <f t="shared" si="136"/>
        <v>157593</v>
      </c>
      <c r="R717" s="68">
        <f t="shared" si="137"/>
        <v>600</v>
      </c>
      <c r="S717" s="68">
        <f t="shared" si="138"/>
        <v>158193</v>
      </c>
    </row>
    <row r="718" spans="2:19" x14ac:dyDescent="0.2">
      <c r="B718" s="48">
        <f t="shared" si="127"/>
        <v>264</v>
      </c>
      <c r="C718" s="11"/>
      <c r="D718" s="11"/>
      <c r="E718" s="11"/>
      <c r="F718" s="65"/>
      <c r="G718" s="10">
        <v>635</v>
      </c>
      <c r="H718" s="11" t="s">
        <v>134</v>
      </c>
      <c r="I718" s="66">
        <f>4000+2000+25250+2000+500+600+300+300</f>
        <v>34950</v>
      </c>
      <c r="J718" s="66"/>
      <c r="K718" s="66">
        <f t="shared" si="128"/>
        <v>34950</v>
      </c>
      <c r="L718" s="66"/>
      <c r="M718" s="66"/>
      <c r="N718" s="66"/>
      <c r="O718" s="66">
        <f t="shared" si="129"/>
        <v>0</v>
      </c>
      <c r="P718" s="67"/>
      <c r="Q718" s="68">
        <f t="shared" si="136"/>
        <v>34950</v>
      </c>
      <c r="R718" s="68">
        <f t="shared" si="137"/>
        <v>0</v>
      </c>
      <c r="S718" s="68">
        <f t="shared" si="138"/>
        <v>34950</v>
      </c>
    </row>
    <row r="719" spans="2:19" x14ac:dyDescent="0.2">
      <c r="B719" s="48">
        <f t="shared" si="127"/>
        <v>265</v>
      </c>
      <c r="C719" s="11"/>
      <c r="D719" s="11"/>
      <c r="E719" s="11"/>
      <c r="F719" s="65"/>
      <c r="G719" s="10">
        <v>636</v>
      </c>
      <c r="H719" s="11" t="s">
        <v>127</v>
      </c>
      <c r="I719" s="66">
        <v>3000</v>
      </c>
      <c r="J719" s="66"/>
      <c r="K719" s="66">
        <f t="shared" si="128"/>
        <v>3000</v>
      </c>
      <c r="L719" s="66"/>
      <c r="M719" s="66"/>
      <c r="N719" s="66"/>
      <c r="O719" s="66">
        <f t="shared" si="129"/>
        <v>0</v>
      </c>
      <c r="P719" s="67"/>
      <c r="Q719" s="68">
        <f t="shared" si="136"/>
        <v>3000</v>
      </c>
      <c r="R719" s="68">
        <f t="shared" si="137"/>
        <v>0</v>
      </c>
      <c r="S719" s="68">
        <f t="shared" si="138"/>
        <v>3000</v>
      </c>
    </row>
    <row r="720" spans="2:19" x14ac:dyDescent="0.2">
      <c r="B720" s="48">
        <f t="shared" si="127"/>
        <v>266</v>
      </c>
      <c r="C720" s="11"/>
      <c r="D720" s="11"/>
      <c r="E720" s="11"/>
      <c r="F720" s="65"/>
      <c r="G720" s="10">
        <v>637</v>
      </c>
      <c r="H720" s="11" t="s">
        <v>123</v>
      </c>
      <c r="I720" s="66">
        <f>300+5000+350+80+18000+465+800+560+160+13000+3500+20+13000+1400+11000+10000+1680+2350</f>
        <v>81665</v>
      </c>
      <c r="J720" s="66">
        <v>-3000</v>
      </c>
      <c r="K720" s="66">
        <f t="shared" si="128"/>
        <v>78665</v>
      </c>
      <c r="L720" s="66"/>
      <c r="M720" s="66"/>
      <c r="N720" s="66"/>
      <c r="O720" s="66">
        <f t="shared" si="129"/>
        <v>0</v>
      </c>
      <c r="P720" s="67"/>
      <c r="Q720" s="68">
        <f t="shared" si="136"/>
        <v>81665</v>
      </c>
      <c r="R720" s="68">
        <f t="shared" si="137"/>
        <v>-3000</v>
      </c>
      <c r="S720" s="68">
        <f t="shared" si="138"/>
        <v>78665</v>
      </c>
    </row>
    <row r="721" spans="2:19" x14ac:dyDescent="0.2">
      <c r="B721" s="48">
        <f t="shared" si="127"/>
        <v>267</v>
      </c>
      <c r="C721" s="9"/>
      <c r="D721" s="9"/>
      <c r="E721" s="9"/>
      <c r="F721" s="61" t="s">
        <v>109</v>
      </c>
      <c r="G721" s="8">
        <v>640</v>
      </c>
      <c r="H721" s="9" t="s">
        <v>130</v>
      </c>
      <c r="I721" s="62">
        <f>15900+1600+270+800+6000</f>
        <v>24570</v>
      </c>
      <c r="J721" s="62"/>
      <c r="K721" s="62">
        <f t="shared" si="128"/>
        <v>24570</v>
      </c>
      <c r="L721" s="62"/>
      <c r="M721" s="62"/>
      <c r="N721" s="62"/>
      <c r="O721" s="62">
        <f t="shared" si="129"/>
        <v>0</v>
      </c>
      <c r="P721" s="63"/>
      <c r="Q721" s="64">
        <f t="shared" si="136"/>
        <v>24570</v>
      </c>
      <c r="R721" s="64">
        <f t="shared" si="137"/>
        <v>0</v>
      </c>
      <c r="S721" s="64">
        <f t="shared" si="138"/>
        <v>24570</v>
      </c>
    </row>
    <row r="722" spans="2:19" x14ac:dyDescent="0.2">
      <c r="B722" s="48">
        <f t="shared" si="127"/>
        <v>268</v>
      </c>
      <c r="C722" s="9"/>
      <c r="D722" s="9"/>
      <c r="E722" s="9"/>
      <c r="F722" s="61"/>
      <c r="G722" s="8">
        <v>600</v>
      </c>
      <c r="H722" s="9" t="s">
        <v>607</v>
      </c>
      <c r="I722" s="62">
        <v>0</v>
      </c>
      <c r="J722" s="62">
        <v>53806</v>
      </c>
      <c r="K722" s="62">
        <f>I722+J722</f>
        <v>53806</v>
      </c>
      <c r="L722" s="62"/>
      <c r="M722" s="62"/>
      <c r="N722" s="62"/>
      <c r="O722" s="62">
        <f>M722+N722</f>
        <v>0</v>
      </c>
      <c r="P722" s="63"/>
      <c r="Q722" s="64">
        <f t="shared" si="136"/>
        <v>0</v>
      </c>
      <c r="R722" s="64">
        <f t="shared" si="137"/>
        <v>53806</v>
      </c>
      <c r="S722" s="64">
        <f t="shared" si="138"/>
        <v>53806</v>
      </c>
    </row>
    <row r="723" spans="2:19" x14ac:dyDescent="0.2">
      <c r="B723" s="48">
        <f t="shared" si="127"/>
        <v>269</v>
      </c>
      <c r="C723" s="9"/>
      <c r="D723" s="9"/>
      <c r="E723" s="9"/>
      <c r="F723" s="61" t="s">
        <v>109</v>
      </c>
      <c r="G723" s="8">
        <v>710</v>
      </c>
      <c r="H723" s="9" t="s">
        <v>176</v>
      </c>
      <c r="I723" s="62"/>
      <c r="J723" s="62"/>
      <c r="K723" s="62">
        <f t="shared" ref="K723:K724" si="139">I723+J723</f>
        <v>0</v>
      </c>
      <c r="L723" s="62"/>
      <c r="M723" s="62">
        <f>M724</f>
        <v>0</v>
      </c>
      <c r="N723" s="62">
        <f>N724</f>
        <v>35000</v>
      </c>
      <c r="O723" s="62">
        <f t="shared" ref="O723:O725" si="140">M723+N723</f>
        <v>35000</v>
      </c>
      <c r="P723" s="63"/>
      <c r="Q723" s="64">
        <f t="shared" si="136"/>
        <v>0</v>
      </c>
      <c r="R723" s="64">
        <f t="shared" si="137"/>
        <v>35000</v>
      </c>
      <c r="S723" s="64">
        <f t="shared" si="138"/>
        <v>35000</v>
      </c>
    </row>
    <row r="724" spans="2:19" x14ac:dyDescent="0.2">
      <c r="B724" s="48">
        <f t="shared" si="127"/>
        <v>270</v>
      </c>
      <c r="C724" s="11"/>
      <c r="D724" s="11"/>
      <c r="E724" s="11"/>
      <c r="F724" s="65"/>
      <c r="G724" s="10">
        <v>717</v>
      </c>
      <c r="H724" s="11" t="s">
        <v>183</v>
      </c>
      <c r="I724" s="66"/>
      <c r="J724" s="66"/>
      <c r="K724" s="66">
        <f t="shared" si="139"/>
        <v>0</v>
      </c>
      <c r="L724" s="66"/>
      <c r="M724" s="66">
        <f>SUM(M725:M725)</f>
        <v>0</v>
      </c>
      <c r="N724" s="66">
        <f>SUM(N725:N725)</f>
        <v>35000</v>
      </c>
      <c r="O724" s="66">
        <f t="shared" si="140"/>
        <v>35000</v>
      </c>
      <c r="P724" s="67"/>
      <c r="Q724" s="68">
        <f t="shared" si="136"/>
        <v>0</v>
      </c>
      <c r="R724" s="68">
        <f t="shared" si="137"/>
        <v>35000</v>
      </c>
      <c r="S724" s="68">
        <f t="shared" si="138"/>
        <v>35000</v>
      </c>
    </row>
    <row r="725" spans="2:19" x14ac:dyDescent="0.2">
      <c r="B725" s="48">
        <f t="shared" si="127"/>
        <v>271</v>
      </c>
      <c r="C725" s="13"/>
      <c r="D725" s="13"/>
      <c r="E725" s="13"/>
      <c r="F725" s="188"/>
      <c r="G725" s="82"/>
      <c r="H725" s="13" t="s">
        <v>639</v>
      </c>
      <c r="I725" s="83"/>
      <c r="J725" s="83"/>
      <c r="K725" s="83">
        <f>I725+J725</f>
        <v>0</v>
      </c>
      <c r="L725" s="83"/>
      <c r="M725" s="83">
        <v>0</v>
      </c>
      <c r="N725" s="83">
        <v>35000</v>
      </c>
      <c r="O725" s="83">
        <f t="shared" si="140"/>
        <v>35000</v>
      </c>
      <c r="P725" s="84"/>
      <c r="Q725" s="85">
        <f t="shared" si="136"/>
        <v>0</v>
      </c>
      <c r="R725" s="85">
        <f t="shared" si="137"/>
        <v>35000</v>
      </c>
      <c r="S725" s="85">
        <f t="shared" si="138"/>
        <v>35000</v>
      </c>
    </row>
    <row r="726" spans="2:19" ht="15" x14ac:dyDescent="0.25">
      <c r="B726" s="48">
        <f t="shared" si="127"/>
        <v>272</v>
      </c>
      <c r="C726" s="166"/>
      <c r="D726" s="166"/>
      <c r="E726" s="166">
        <v>9</v>
      </c>
      <c r="F726" s="167"/>
      <c r="G726" s="167"/>
      <c r="H726" s="166" t="s">
        <v>4</v>
      </c>
      <c r="I726" s="168">
        <f>I727+I728+I729+I737+I738+I739+I740+I747</f>
        <v>1947434</v>
      </c>
      <c r="J726" s="168">
        <f>J727+J728+J729+J737+J738+J739+J740+J747+J748</f>
        <v>35020</v>
      </c>
      <c r="K726" s="168">
        <f t="shared" si="128"/>
        <v>1982454</v>
      </c>
      <c r="L726" s="58"/>
      <c r="M726" s="168">
        <f>M749</f>
        <v>63990</v>
      </c>
      <c r="N726" s="168">
        <f>N749</f>
        <v>13000</v>
      </c>
      <c r="O726" s="168">
        <f t="shared" si="129"/>
        <v>76990</v>
      </c>
      <c r="P726" s="59"/>
      <c r="Q726" s="169">
        <f t="shared" si="136"/>
        <v>2011424</v>
      </c>
      <c r="R726" s="169">
        <f t="shared" si="137"/>
        <v>48020</v>
      </c>
      <c r="S726" s="169">
        <f t="shared" si="138"/>
        <v>2059444</v>
      </c>
    </row>
    <row r="727" spans="2:19" x14ac:dyDescent="0.2">
      <c r="B727" s="48">
        <f t="shared" si="127"/>
        <v>273</v>
      </c>
      <c r="C727" s="9"/>
      <c r="D727" s="9"/>
      <c r="E727" s="9"/>
      <c r="F727" s="61" t="s">
        <v>120</v>
      </c>
      <c r="G727" s="8">
        <v>610</v>
      </c>
      <c r="H727" s="9" t="s">
        <v>132</v>
      </c>
      <c r="I727" s="62">
        <f>404600+5400+35000+10000</f>
        <v>455000</v>
      </c>
      <c r="J727" s="62"/>
      <c r="K727" s="62">
        <f t="shared" si="128"/>
        <v>455000</v>
      </c>
      <c r="L727" s="62"/>
      <c r="M727" s="62"/>
      <c r="N727" s="62"/>
      <c r="O727" s="62">
        <f t="shared" si="129"/>
        <v>0</v>
      </c>
      <c r="P727" s="63"/>
      <c r="Q727" s="64">
        <f t="shared" si="136"/>
        <v>455000</v>
      </c>
      <c r="R727" s="64">
        <f t="shared" si="137"/>
        <v>0</v>
      </c>
      <c r="S727" s="64">
        <f t="shared" si="138"/>
        <v>455000</v>
      </c>
    </row>
    <row r="728" spans="2:19" x14ac:dyDescent="0.2">
      <c r="B728" s="48">
        <f t="shared" ref="B728:B730" si="141">B727+1</f>
        <v>274</v>
      </c>
      <c r="C728" s="9"/>
      <c r="D728" s="9"/>
      <c r="E728" s="9"/>
      <c r="F728" s="61" t="s">
        <v>120</v>
      </c>
      <c r="G728" s="8">
        <v>620</v>
      </c>
      <c r="H728" s="9" t="s">
        <v>125</v>
      </c>
      <c r="I728" s="62">
        <f>34275+11425+6400+63980+13710+3655+4500+4570+21710</f>
        <v>164225</v>
      </c>
      <c r="J728" s="62"/>
      <c r="K728" s="62">
        <f t="shared" ref="K728:K794" si="142">I728+J728</f>
        <v>164225</v>
      </c>
      <c r="L728" s="62"/>
      <c r="M728" s="62"/>
      <c r="N728" s="62"/>
      <c r="O728" s="62">
        <f t="shared" ref="O728:O794" si="143">M728+N728</f>
        <v>0</v>
      </c>
      <c r="P728" s="63"/>
      <c r="Q728" s="64">
        <f t="shared" si="136"/>
        <v>164225</v>
      </c>
      <c r="R728" s="64">
        <f t="shared" si="137"/>
        <v>0</v>
      </c>
      <c r="S728" s="64">
        <f t="shared" si="138"/>
        <v>164225</v>
      </c>
    </row>
    <row r="729" spans="2:19" x14ac:dyDescent="0.2">
      <c r="B729" s="48">
        <f t="shared" si="141"/>
        <v>275</v>
      </c>
      <c r="C729" s="9"/>
      <c r="D729" s="9"/>
      <c r="E729" s="9"/>
      <c r="F729" s="61" t="s">
        <v>120</v>
      </c>
      <c r="G729" s="8">
        <v>630</v>
      </c>
      <c r="H729" s="9" t="s">
        <v>122</v>
      </c>
      <c r="I729" s="62">
        <f>I736+I735+I734+I733+I732+I731+I730</f>
        <v>107200</v>
      </c>
      <c r="J729" s="62">
        <f>J736+J735+J734+J733+J732+J731+J730</f>
        <v>550</v>
      </c>
      <c r="K729" s="62">
        <f t="shared" si="142"/>
        <v>107750</v>
      </c>
      <c r="L729" s="62"/>
      <c r="M729" s="62"/>
      <c r="N729" s="62"/>
      <c r="O729" s="62">
        <f t="shared" si="143"/>
        <v>0</v>
      </c>
      <c r="P729" s="63"/>
      <c r="Q729" s="64">
        <f t="shared" si="136"/>
        <v>107200</v>
      </c>
      <c r="R729" s="64">
        <f t="shared" si="137"/>
        <v>550</v>
      </c>
      <c r="S729" s="64">
        <f t="shared" si="138"/>
        <v>107750</v>
      </c>
    </row>
    <row r="730" spans="2:19" x14ac:dyDescent="0.2">
      <c r="B730" s="48">
        <f t="shared" si="141"/>
        <v>276</v>
      </c>
      <c r="C730" s="11"/>
      <c r="D730" s="11"/>
      <c r="E730" s="11"/>
      <c r="F730" s="65"/>
      <c r="G730" s="10">
        <v>631</v>
      </c>
      <c r="H730" s="11" t="s">
        <v>128</v>
      </c>
      <c r="I730" s="66">
        <v>300</v>
      </c>
      <c r="J730" s="66"/>
      <c r="K730" s="66">
        <f t="shared" si="142"/>
        <v>300</v>
      </c>
      <c r="L730" s="66"/>
      <c r="M730" s="66"/>
      <c r="N730" s="66"/>
      <c r="O730" s="66">
        <f t="shared" si="143"/>
        <v>0</v>
      </c>
      <c r="P730" s="67"/>
      <c r="Q730" s="68">
        <f t="shared" si="136"/>
        <v>300</v>
      </c>
      <c r="R730" s="68">
        <f t="shared" si="137"/>
        <v>0</v>
      </c>
      <c r="S730" s="68">
        <f t="shared" si="138"/>
        <v>300</v>
      </c>
    </row>
    <row r="731" spans="2:19" x14ac:dyDescent="0.2">
      <c r="B731" s="48">
        <f t="shared" ref="B731:B758" si="144">B730+1</f>
        <v>277</v>
      </c>
      <c r="C731" s="11"/>
      <c r="D731" s="11"/>
      <c r="E731" s="11"/>
      <c r="F731" s="65"/>
      <c r="G731" s="10">
        <v>632</v>
      </c>
      <c r="H731" s="11" t="s">
        <v>135</v>
      </c>
      <c r="I731" s="66">
        <f>400+1500+8000+50000+2500+500</f>
        <v>62900</v>
      </c>
      <c r="J731" s="66">
        <v>-15550</v>
      </c>
      <c r="K731" s="66">
        <f t="shared" si="142"/>
        <v>47350</v>
      </c>
      <c r="L731" s="66"/>
      <c r="M731" s="66"/>
      <c r="N731" s="66"/>
      <c r="O731" s="66">
        <f t="shared" si="143"/>
        <v>0</v>
      </c>
      <c r="P731" s="67"/>
      <c r="Q731" s="68">
        <f t="shared" si="136"/>
        <v>62900</v>
      </c>
      <c r="R731" s="68">
        <f t="shared" si="137"/>
        <v>-15550</v>
      </c>
      <c r="S731" s="68">
        <f t="shared" si="138"/>
        <v>47350</v>
      </c>
    </row>
    <row r="732" spans="2:19" x14ac:dyDescent="0.2">
      <c r="B732" s="48">
        <f t="shared" si="144"/>
        <v>278</v>
      </c>
      <c r="C732" s="11"/>
      <c r="D732" s="11"/>
      <c r="E732" s="11"/>
      <c r="F732" s="65"/>
      <c r="G732" s="10">
        <v>633</v>
      </c>
      <c r="H732" s="11" t="s">
        <v>126</v>
      </c>
      <c r="I732" s="66">
        <f>6000+500+400+250</f>
        <v>7150</v>
      </c>
      <c r="J732" s="66"/>
      <c r="K732" s="66">
        <f t="shared" si="142"/>
        <v>7150</v>
      </c>
      <c r="L732" s="66"/>
      <c r="M732" s="66"/>
      <c r="N732" s="66"/>
      <c r="O732" s="66">
        <f t="shared" si="143"/>
        <v>0</v>
      </c>
      <c r="P732" s="67"/>
      <c r="Q732" s="68">
        <f t="shared" si="136"/>
        <v>7150</v>
      </c>
      <c r="R732" s="68">
        <f t="shared" si="137"/>
        <v>0</v>
      </c>
      <c r="S732" s="68">
        <f t="shared" si="138"/>
        <v>7150</v>
      </c>
    </row>
    <row r="733" spans="2:19" x14ac:dyDescent="0.2">
      <c r="B733" s="48">
        <f t="shared" si="144"/>
        <v>279</v>
      </c>
      <c r="C733" s="11"/>
      <c r="D733" s="11"/>
      <c r="E733" s="11"/>
      <c r="F733" s="65"/>
      <c r="G733" s="10">
        <v>634</v>
      </c>
      <c r="H733" s="11" t="s">
        <v>133</v>
      </c>
      <c r="I733" s="66">
        <v>1500</v>
      </c>
      <c r="J733" s="66"/>
      <c r="K733" s="66">
        <f t="shared" si="142"/>
        <v>1500</v>
      </c>
      <c r="L733" s="66"/>
      <c r="M733" s="66"/>
      <c r="N733" s="66"/>
      <c r="O733" s="66">
        <f t="shared" si="143"/>
        <v>0</v>
      </c>
      <c r="P733" s="67"/>
      <c r="Q733" s="68">
        <f t="shared" si="136"/>
        <v>1500</v>
      </c>
      <c r="R733" s="68">
        <f t="shared" si="137"/>
        <v>0</v>
      </c>
      <c r="S733" s="68">
        <f t="shared" si="138"/>
        <v>1500</v>
      </c>
    </row>
    <row r="734" spans="2:19" x14ac:dyDescent="0.2">
      <c r="B734" s="48">
        <f t="shared" si="144"/>
        <v>280</v>
      </c>
      <c r="C734" s="11"/>
      <c r="D734" s="11"/>
      <c r="E734" s="11"/>
      <c r="F734" s="65"/>
      <c r="G734" s="10">
        <v>635</v>
      </c>
      <c r="H734" s="11" t="s">
        <v>134</v>
      </c>
      <c r="I734" s="66">
        <v>2500</v>
      </c>
      <c r="J734" s="66">
        <v>16100</v>
      </c>
      <c r="K734" s="66">
        <f t="shared" si="142"/>
        <v>18600</v>
      </c>
      <c r="L734" s="66"/>
      <c r="M734" s="66"/>
      <c r="N734" s="66"/>
      <c r="O734" s="66">
        <f t="shared" si="143"/>
        <v>0</v>
      </c>
      <c r="P734" s="67"/>
      <c r="Q734" s="68">
        <f t="shared" si="136"/>
        <v>2500</v>
      </c>
      <c r="R734" s="68">
        <f t="shared" si="137"/>
        <v>16100</v>
      </c>
      <c r="S734" s="68">
        <f t="shared" si="138"/>
        <v>18600</v>
      </c>
    </row>
    <row r="735" spans="2:19" x14ac:dyDescent="0.2">
      <c r="B735" s="48">
        <f t="shared" si="144"/>
        <v>281</v>
      </c>
      <c r="C735" s="11"/>
      <c r="D735" s="11"/>
      <c r="E735" s="11"/>
      <c r="F735" s="65"/>
      <c r="G735" s="10">
        <v>636</v>
      </c>
      <c r="H735" s="11" t="s">
        <v>127</v>
      </c>
      <c r="I735" s="66">
        <v>500</v>
      </c>
      <c r="J735" s="66"/>
      <c r="K735" s="66">
        <f t="shared" si="142"/>
        <v>500</v>
      </c>
      <c r="L735" s="66"/>
      <c r="M735" s="66"/>
      <c r="N735" s="66"/>
      <c r="O735" s="66">
        <f t="shared" si="143"/>
        <v>0</v>
      </c>
      <c r="P735" s="67"/>
      <c r="Q735" s="68">
        <f t="shared" si="136"/>
        <v>500</v>
      </c>
      <c r="R735" s="68">
        <f t="shared" si="137"/>
        <v>0</v>
      </c>
      <c r="S735" s="68">
        <f t="shared" si="138"/>
        <v>500</v>
      </c>
    </row>
    <row r="736" spans="2:19" x14ac:dyDescent="0.2">
      <c r="B736" s="48">
        <f t="shared" si="144"/>
        <v>282</v>
      </c>
      <c r="C736" s="11"/>
      <c r="D736" s="11"/>
      <c r="E736" s="11"/>
      <c r="F736" s="65"/>
      <c r="G736" s="10">
        <v>637</v>
      </c>
      <c r="H736" s="11" t="s">
        <v>123</v>
      </c>
      <c r="I736" s="66">
        <f>480+370+3500+200+8000+1500+4700+2000+600+1000+10000</f>
        <v>32350</v>
      </c>
      <c r="J736" s="66"/>
      <c r="K736" s="66">
        <f t="shared" si="142"/>
        <v>32350</v>
      </c>
      <c r="L736" s="66"/>
      <c r="M736" s="66"/>
      <c r="N736" s="66"/>
      <c r="O736" s="66">
        <f t="shared" si="143"/>
        <v>0</v>
      </c>
      <c r="P736" s="67"/>
      <c r="Q736" s="68">
        <f t="shared" si="136"/>
        <v>32350</v>
      </c>
      <c r="R736" s="68">
        <f t="shared" si="137"/>
        <v>0</v>
      </c>
      <c r="S736" s="68">
        <f t="shared" si="138"/>
        <v>32350</v>
      </c>
    </row>
    <row r="737" spans="2:19" x14ac:dyDescent="0.2">
      <c r="B737" s="48">
        <f t="shared" si="144"/>
        <v>283</v>
      </c>
      <c r="C737" s="9"/>
      <c r="D737" s="9"/>
      <c r="E737" s="9"/>
      <c r="F737" s="61" t="s">
        <v>120</v>
      </c>
      <c r="G737" s="8">
        <v>640</v>
      </c>
      <c r="H737" s="9" t="s">
        <v>130</v>
      </c>
      <c r="I737" s="62">
        <f>3000</f>
        <v>3000</v>
      </c>
      <c r="J737" s="62"/>
      <c r="K737" s="62">
        <f t="shared" si="142"/>
        <v>3000</v>
      </c>
      <c r="L737" s="62"/>
      <c r="M737" s="62"/>
      <c r="N737" s="62"/>
      <c r="O737" s="62">
        <f t="shared" si="143"/>
        <v>0</v>
      </c>
      <c r="P737" s="63"/>
      <c r="Q737" s="64">
        <f t="shared" si="136"/>
        <v>3000</v>
      </c>
      <c r="R737" s="64">
        <f t="shared" si="137"/>
        <v>0</v>
      </c>
      <c r="S737" s="64">
        <f t="shared" si="138"/>
        <v>3000</v>
      </c>
    </row>
    <row r="738" spans="2:19" x14ac:dyDescent="0.2">
      <c r="B738" s="48">
        <f t="shared" si="144"/>
        <v>284</v>
      </c>
      <c r="C738" s="9"/>
      <c r="D738" s="9"/>
      <c r="E738" s="9"/>
      <c r="F738" s="61" t="s">
        <v>109</v>
      </c>
      <c r="G738" s="8">
        <v>610</v>
      </c>
      <c r="H738" s="9" t="s">
        <v>132</v>
      </c>
      <c r="I738" s="62">
        <f>788250+100</f>
        <v>788350</v>
      </c>
      <c r="J738" s="62">
        <v>4500</v>
      </c>
      <c r="K738" s="62">
        <f t="shared" si="142"/>
        <v>792850</v>
      </c>
      <c r="L738" s="62"/>
      <c r="M738" s="62"/>
      <c r="N738" s="62"/>
      <c r="O738" s="62">
        <f t="shared" si="143"/>
        <v>0</v>
      </c>
      <c r="P738" s="63"/>
      <c r="Q738" s="64">
        <f t="shared" si="136"/>
        <v>788350</v>
      </c>
      <c r="R738" s="64">
        <f t="shared" si="137"/>
        <v>4500</v>
      </c>
      <c r="S738" s="64">
        <f t="shared" si="138"/>
        <v>792850</v>
      </c>
    </row>
    <row r="739" spans="2:19" x14ac:dyDescent="0.2">
      <c r="B739" s="48">
        <f t="shared" si="144"/>
        <v>285</v>
      </c>
      <c r="C739" s="9"/>
      <c r="D739" s="9"/>
      <c r="E739" s="9"/>
      <c r="F739" s="61" t="s">
        <v>109</v>
      </c>
      <c r="G739" s="8">
        <v>620</v>
      </c>
      <c r="H739" s="9" t="s">
        <v>125</v>
      </c>
      <c r="I739" s="62">
        <f>282680+35</f>
        <v>282715</v>
      </c>
      <c r="J739" s="62"/>
      <c r="K739" s="62">
        <f t="shared" si="142"/>
        <v>282715</v>
      </c>
      <c r="L739" s="62"/>
      <c r="M739" s="62"/>
      <c r="N739" s="62"/>
      <c r="O739" s="62">
        <f t="shared" si="143"/>
        <v>0</v>
      </c>
      <c r="P739" s="63"/>
      <c r="Q739" s="64">
        <f t="shared" si="136"/>
        <v>282715</v>
      </c>
      <c r="R739" s="64">
        <f t="shared" si="137"/>
        <v>0</v>
      </c>
      <c r="S739" s="64">
        <f t="shared" si="138"/>
        <v>282715</v>
      </c>
    </row>
    <row r="740" spans="2:19" s="164" customFormat="1" x14ac:dyDescent="0.2">
      <c r="B740" s="48">
        <f t="shared" si="144"/>
        <v>286</v>
      </c>
      <c r="C740" s="9"/>
      <c r="D740" s="9"/>
      <c r="E740" s="9"/>
      <c r="F740" s="61" t="s">
        <v>109</v>
      </c>
      <c r="G740" s="8">
        <v>630</v>
      </c>
      <c r="H740" s="9" t="s">
        <v>122</v>
      </c>
      <c r="I740" s="62">
        <f>I746+I745+I744+I743+I742+I741</f>
        <v>143944</v>
      </c>
      <c r="J740" s="62">
        <f>J746+J745+J744+J743+J742+J741</f>
        <v>-6917</v>
      </c>
      <c r="K740" s="62">
        <f t="shared" si="142"/>
        <v>137027</v>
      </c>
      <c r="L740" s="62"/>
      <c r="M740" s="62"/>
      <c r="N740" s="62"/>
      <c r="O740" s="62">
        <f t="shared" si="143"/>
        <v>0</v>
      </c>
      <c r="P740" s="63"/>
      <c r="Q740" s="64">
        <f t="shared" si="136"/>
        <v>143944</v>
      </c>
      <c r="R740" s="64">
        <f t="shared" si="137"/>
        <v>-6917</v>
      </c>
      <c r="S740" s="64">
        <f t="shared" si="138"/>
        <v>137027</v>
      </c>
    </row>
    <row r="741" spans="2:19" s="164" customFormat="1" x14ac:dyDescent="0.2">
      <c r="B741" s="48">
        <f t="shared" si="144"/>
        <v>287</v>
      </c>
      <c r="C741" s="11"/>
      <c r="D741" s="11"/>
      <c r="E741" s="11"/>
      <c r="F741" s="65"/>
      <c r="G741" s="10">
        <v>631</v>
      </c>
      <c r="H741" s="11" t="s">
        <v>128</v>
      </c>
      <c r="I741" s="66">
        <v>300</v>
      </c>
      <c r="J741" s="66"/>
      <c r="K741" s="66">
        <f t="shared" si="142"/>
        <v>300</v>
      </c>
      <c r="L741" s="66"/>
      <c r="M741" s="66"/>
      <c r="N741" s="66"/>
      <c r="O741" s="66">
        <f t="shared" si="143"/>
        <v>0</v>
      </c>
      <c r="P741" s="67"/>
      <c r="Q741" s="68">
        <f t="shared" si="136"/>
        <v>300</v>
      </c>
      <c r="R741" s="68">
        <f t="shared" si="137"/>
        <v>0</v>
      </c>
      <c r="S741" s="68">
        <f t="shared" si="138"/>
        <v>300</v>
      </c>
    </row>
    <row r="742" spans="2:19" s="164" customFormat="1" x14ac:dyDescent="0.2">
      <c r="B742" s="48">
        <f t="shared" si="144"/>
        <v>288</v>
      </c>
      <c r="C742" s="11"/>
      <c r="D742" s="11"/>
      <c r="E742" s="11"/>
      <c r="F742" s="65"/>
      <c r="G742" s="10">
        <v>632</v>
      </c>
      <c r="H742" s="11" t="s">
        <v>135</v>
      </c>
      <c r="I742" s="66">
        <f>400+1500+7800+8000+50000+2500+500</f>
        <v>70700</v>
      </c>
      <c r="J742" s="66">
        <v>-18550</v>
      </c>
      <c r="K742" s="66">
        <f t="shared" si="142"/>
        <v>52150</v>
      </c>
      <c r="L742" s="66"/>
      <c r="M742" s="66"/>
      <c r="N742" s="66"/>
      <c r="O742" s="66">
        <f t="shared" si="143"/>
        <v>0</v>
      </c>
      <c r="P742" s="67"/>
      <c r="Q742" s="68">
        <f t="shared" ref="Q742:Q777" si="145">I742+M742</f>
        <v>70700</v>
      </c>
      <c r="R742" s="68">
        <f t="shared" ref="R742:R777" si="146">J742+N742</f>
        <v>-18550</v>
      </c>
      <c r="S742" s="68">
        <f t="shared" ref="S742:S777" si="147">K742+O742</f>
        <v>52150</v>
      </c>
    </row>
    <row r="743" spans="2:19" x14ac:dyDescent="0.2">
      <c r="B743" s="48">
        <f t="shared" si="144"/>
        <v>289</v>
      </c>
      <c r="C743" s="11"/>
      <c r="D743" s="11"/>
      <c r="E743" s="11"/>
      <c r="F743" s="65"/>
      <c r="G743" s="10">
        <v>633</v>
      </c>
      <c r="H743" s="11" t="s">
        <v>126</v>
      </c>
      <c r="I743" s="66">
        <f>8144+1000+1000+1000+3000+500+400+250</f>
        <v>15294</v>
      </c>
      <c r="J743" s="66"/>
      <c r="K743" s="66">
        <f t="shared" si="142"/>
        <v>15294</v>
      </c>
      <c r="L743" s="66"/>
      <c r="M743" s="66"/>
      <c r="N743" s="66"/>
      <c r="O743" s="66">
        <f t="shared" si="143"/>
        <v>0</v>
      </c>
      <c r="P743" s="67"/>
      <c r="Q743" s="68">
        <f t="shared" si="145"/>
        <v>15294</v>
      </c>
      <c r="R743" s="68">
        <f t="shared" si="146"/>
        <v>0</v>
      </c>
      <c r="S743" s="68">
        <f t="shared" si="147"/>
        <v>15294</v>
      </c>
    </row>
    <row r="744" spans="2:19" x14ac:dyDescent="0.2">
      <c r="B744" s="48">
        <f t="shared" si="144"/>
        <v>290</v>
      </c>
      <c r="C744" s="11"/>
      <c r="D744" s="11"/>
      <c r="E744" s="11"/>
      <c r="F744" s="65"/>
      <c r="G744" s="10">
        <v>635</v>
      </c>
      <c r="H744" s="11" t="s">
        <v>134</v>
      </c>
      <c r="I744" s="66">
        <v>10000</v>
      </c>
      <c r="J744" s="66">
        <v>16133</v>
      </c>
      <c r="K744" s="66">
        <f t="shared" si="142"/>
        <v>26133</v>
      </c>
      <c r="L744" s="66"/>
      <c r="M744" s="66"/>
      <c r="N744" s="66"/>
      <c r="O744" s="66">
        <f t="shared" si="143"/>
        <v>0</v>
      </c>
      <c r="P744" s="67"/>
      <c r="Q744" s="68">
        <f t="shared" si="145"/>
        <v>10000</v>
      </c>
      <c r="R744" s="68">
        <f t="shared" si="146"/>
        <v>16133</v>
      </c>
      <c r="S744" s="68">
        <f t="shared" si="147"/>
        <v>26133</v>
      </c>
    </row>
    <row r="745" spans="2:19" x14ac:dyDescent="0.2">
      <c r="B745" s="48">
        <f t="shared" si="144"/>
        <v>291</v>
      </c>
      <c r="C745" s="11"/>
      <c r="D745" s="11"/>
      <c r="E745" s="11"/>
      <c r="F745" s="65"/>
      <c r="G745" s="10">
        <v>636</v>
      </c>
      <c r="H745" s="11" t="s">
        <v>127</v>
      </c>
      <c r="I745" s="66">
        <v>5000</v>
      </c>
      <c r="J745" s="66">
        <v>-4500</v>
      </c>
      <c r="K745" s="66">
        <f t="shared" si="142"/>
        <v>500</v>
      </c>
      <c r="L745" s="66"/>
      <c r="M745" s="66"/>
      <c r="N745" s="66"/>
      <c r="O745" s="66">
        <f t="shared" si="143"/>
        <v>0</v>
      </c>
      <c r="P745" s="67"/>
      <c r="Q745" s="68">
        <f t="shared" si="145"/>
        <v>5000</v>
      </c>
      <c r="R745" s="68">
        <f t="shared" si="146"/>
        <v>-4500</v>
      </c>
      <c r="S745" s="68">
        <f t="shared" si="147"/>
        <v>500</v>
      </c>
    </row>
    <row r="746" spans="2:19" x14ac:dyDescent="0.2">
      <c r="B746" s="48">
        <f t="shared" si="144"/>
        <v>292</v>
      </c>
      <c r="C746" s="11"/>
      <c r="D746" s="11"/>
      <c r="E746" s="11"/>
      <c r="F746" s="65"/>
      <c r="G746" s="10">
        <v>637</v>
      </c>
      <c r="H746" s="11" t="s">
        <v>123</v>
      </c>
      <c r="I746" s="66">
        <f>370+6050+5250+200+8000+1500+4700+2500+2000+600+1000+10000+480</f>
        <v>42650</v>
      </c>
      <c r="J746" s="66"/>
      <c r="K746" s="66">
        <f t="shared" si="142"/>
        <v>42650</v>
      </c>
      <c r="L746" s="66"/>
      <c r="M746" s="66"/>
      <c r="N746" s="66"/>
      <c r="O746" s="66">
        <f t="shared" si="143"/>
        <v>0</v>
      </c>
      <c r="P746" s="67"/>
      <c r="Q746" s="68">
        <f t="shared" si="145"/>
        <v>42650</v>
      </c>
      <c r="R746" s="68">
        <f t="shared" si="146"/>
        <v>0</v>
      </c>
      <c r="S746" s="68">
        <f t="shared" si="147"/>
        <v>42650</v>
      </c>
    </row>
    <row r="747" spans="2:19" x14ac:dyDescent="0.2">
      <c r="B747" s="48">
        <f t="shared" si="144"/>
        <v>293</v>
      </c>
      <c r="C747" s="9"/>
      <c r="D747" s="9"/>
      <c r="E747" s="9"/>
      <c r="F747" s="61" t="s">
        <v>109</v>
      </c>
      <c r="G747" s="8">
        <v>640</v>
      </c>
      <c r="H747" s="9" t="s">
        <v>130</v>
      </c>
      <c r="I747" s="62">
        <v>3000</v>
      </c>
      <c r="J747" s="62"/>
      <c r="K747" s="62">
        <f t="shared" si="142"/>
        <v>3000</v>
      </c>
      <c r="L747" s="62"/>
      <c r="M747" s="62"/>
      <c r="N747" s="62"/>
      <c r="O747" s="62">
        <f t="shared" si="143"/>
        <v>0</v>
      </c>
      <c r="P747" s="63"/>
      <c r="Q747" s="64">
        <f t="shared" si="145"/>
        <v>3000</v>
      </c>
      <c r="R747" s="64">
        <f t="shared" si="146"/>
        <v>0</v>
      </c>
      <c r="S747" s="64">
        <f t="shared" si="147"/>
        <v>3000</v>
      </c>
    </row>
    <row r="748" spans="2:19" x14ac:dyDescent="0.2">
      <c r="B748" s="48">
        <f t="shared" si="144"/>
        <v>294</v>
      </c>
      <c r="C748" s="9"/>
      <c r="D748" s="9"/>
      <c r="E748" s="9"/>
      <c r="F748" s="61"/>
      <c r="G748" s="8">
        <v>600</v>
      </c>
      <c r="H748" s="9" t="s">
        <v>607</v>
      </c>
      <c r="I748" s="62">
        <v>0</v>
      </c>
      <c r="J748" s="62">
        <f>34151+2736</f>
        <v>36887</v>
      </c>
      <c r="K748" s="62">
        <f t="shared" si="142"/>
        <v>36887</v>
      </c>
      <c r="L748" s="62"/>
      <c r="M748" s="62"/>
      <c r="N748" s="62"/>
      <c r="O748" s="62">
        <f>M748+N748</f>
        <v>0</v>
      </c>
      <c r="P748" s="63"/>
      <c r="Q748" s="64">
        <f t="shared" si="145"/>
        <v>0</v>
      </c>
      <c r="R748" s="64">
        <f t="shared" si="146"/>
        <v>36887</v>
      </c>
      <c r="S748" s="64">
        <f t="shared" si="147"/>
        <v>36887</v>
      </c>
    </row>
    <row r="749" spans="2:19" x14ac:dyDescent="0.2">
      <c r="B749" s="48">
        <f t="shared" si="144"/>
        <v>295</v>
      </c>
      <c r="C749" s="9"/>
      <c r="D749" s="9"/>
      <c r="E749" s="9"/>
      <c r="F749" s="61" t="s">
        <v>109</v>
      </c>
      <c r="G749" s="8">
        <v>710</v>
      </c>
      <c r="H749" s="9" t="s">
        <v>176</v>
      </c>
      <c r="I749" s="62"/>
      <c r="J749" s="62"/>
      <c r="K749" s="62">
        <f t="shared" si="142"/>
        <v>0</v>
      </c>
      <c r="L749" s="62"/>
      <c r="M749" s="62">
        <f>M750+M752</f>
        <v>63990</v>
      </c>
      <c r="N749" s="62">
        <f>N750+N752</f>
        <v>13000</v>
      </c>
      <c r="O749" s="62">
        <f t="shared" si="143"/>
        <v>76990</v>
      </c>
      <c r="P749" s="63"/>
      <c r="Q749" s="64">
        <f t="shared" si="145"/>
        <v>63990</v>
      </c>
      <c r="R749" s="64">
        <f t="shared" si="146"/>
        <v>13000</v>
      </c>
      <c r="S749" s="64">
        <f t="shared" si="147"/>
        <v>76990</v>
      </c>
    </row>
    <row r="750" spans="2:19" x14ac:dyDescent="0.2">
      <c r="B750" s="48">
        <f t="shared" si="144"/>
        <v>296</v>
      </c>
      <c r="C750" s="11"/>
      <c r="D750" s="11"/>
      <c r="E750" s="11"/>
      <c r="F750" s="65"/>
      <c r="G750" s="10">
        <v>716</v>
      </c>
      <c r="H750" s="11" t="s">
        <v>216</v>
      </c>
      <c r="I750" s="66"/>
      <c r="J750" s="66"/>
      <c r="K750" s="66">
        <f t="shared" si="142"/>
        <v>0</v>
      </c>
      <c r="L750" s="66"/>
      <c r="M750" s="66">
        <f>M751</f>
        <v>38000</v>
      </c>
      <c r="N750" s="66">
        <f>N751</f>
        <v>0</v>
      </c>
      <c r="O750" s="66">
        <f t="shared" si="143"/>
        <v>38000</v>
      </c>
      <c r="P750" s="67"/>
      <c r="Q750" s="68">
        <f t="shared" si="145"/>
        <v>38000</v>
      </c>
      <c r="R750" s="68">
        <f t="shared" si="146"/>
        <v>0</v>
      </c>
      <c r="S750" s="68">
        <f t="shared" si="147"/>
        <v>38000</v>
      </c>
    </row>
    <row r="751" spans="2:19" x14ac:dyDescent="0.2">
      <c r="B751" s="48">
        <f t="shared" si="144"/>
        <v>297</v>
      </c>
      <c r="C751" s="13"/>
      <c r="D751" s="13"/>
      <c r="E751" s="13"/>
      <c r="F751" s="188"/>
      <c r="G751" s="82"/>
      <c r="H751" s="13" t="s">
        <v>411</v>
      </c>
      <c r="I751" s="83"/>
      <c r="J751" s="83"/>
      <c r="K751" s="83">
        <f t="shared" si="142"/>
        <v>0</v>
      </c>
      <c r="L751" s="83"/>
      <c r="M751" s="83">
        <v>38000</v>
      </c>
      <c r="N751" s="83"/>
      <c r="O751" s="83">
        <f t="shared" si="143"/>
        <v>38000</v>
      </c>
      <c r="P751" s="84"/>
      <c r="Q751" s="85">
        <f t="shared" si="145"/>
        <v>38000</v>
      </c>
      <c r="R751" s="85">
        <f t="shared" si="146"/>
        <v>0</v>
      </c>
      <c r="S751" s="85">
        <f t="shared" si="147"/>
        <v>38000</v>
      </c>
    </row>
    <row r="752" spans="2:19" x14ac:dyDescent="0.2">
      <c r="B752" s="48">
        <f t="shared" si="144"/>
        <v>298</v>
      </c>
      <c r="C752" s="13"/>
      <c r="D752" s="13"/>
      <c r="E752" s="13"/>
      <c r="F752" s="188"/>
      <c r="G752" s="10">
        <v>717</v>
      </c>
      <c r="H752" s="11" t="s">
        <v>183</v>
      </c>
      <c r="I752" s="66"/>
      <c r="J752" s="66"/>
      <c r="K752" s="66">
        <f t="shared" si="142"/>
        <v>0</v>
      </c>
      <c r="L752" s="66"/>
      <c r="M752" s="66">
        <f>M753</f>
        <v>25990</v>
      </c>
      <c r="N752" s="66">
        <f>SUM(N753:N754)</f>
        <v>13000</v>
      </c>
      <c r="O752" s="66">
        <f t="shared" si="143"/>
        <v>38990</v>
      </c>
      <c r="P752" s="67"/>
      <c r="Q752" s="68">
        <f t="shared" si="145"/>
        <v>25990</v>
      </c>
      <c r="R752" s="68">
        <f t="shared" si="146"/>
        <v>13000</v>
      </c>
      <c r="S752" s="68">
        <f t="shared" si="147"/>
        <v>38990</v>
      </c>
    </row>
    <row r="753" spans="2:19" x14ac:dyDescent="0.2">
      <c r="B753" s="48">
        <f t="shared" si="144"/>
        <v>299</v>
      </c>
      <c r="C753" s="13"/>
      <c r="D753" s="13"/>
      <c r="E753" s="13"/>
      <c r="F753" s="188"/>
      <c r="G753" s="82"/>
      <c r="H753" s="13" t="s">
        <v>572</v>
      </c>
      <c r="I753" s="83"/>
      <c r="J753" s="83"/>
      <c r="K753" s="83">
        <f t="shared" si="142"/>
        <v>0</v>
      </c>
      <c r="L753" s="83"/>
      <c r="M753" s="83">
        <v>25990</v>
      </c>
      <c r="N753" s="83"/>
      <c r="O753" s="83">
        <f t="shared" si="143"/>
        <v>25990</v>
      </c>
      <c r="P753" s="84"/>
      <c r="Q753" s="85">
        <f t="shared" si="145"/>
        <v>25990</v>
      </c>
      <c r="R753" s="85">
        <f t="shared" si="146"/>
        <v>0</v>
      </c>
      <c r="S753" s="85">
        <f t="shared" si="147"/>
        <v>25990</v>
      </c>
    </row>
    <row r="754" spans="2:19" x14ac:dyDescent="0.2">
      <c r="B754" s="48">
        <f t="shared" si="144"/>
        <v>300</v>
      </c>
      <c r="C754" s="13"/>
      <c r="D754" s="13"/>
      <c r="E754" s="13"/>
      <c r="F754" s="188"/>
      <c r="G754" s="82"/>
      <c r="H754" s="13" t="s">
        <v>599</v>
      </c>
      <c r="I754" s="83"/>
      <c r="J754" s="83"/>
      <c r="K754" s="83"/>
      <c r="L754" s="83"/>
      <c r="M754" s="83">
        <v>0</v>
      </c>
      <c r="N754" s="83">
        <v>13000</v>
      </c>
      <c r="O754" s="83">
        <f>M754+N754</f>
        <v>13000</v>
      </c>
      <c r="P754" s="84"/>
      <c r="Q754" s="85">
        <f t="shared" si="145"/>
        <v>0</v>
      </c>
      <c r="R754" s="85">
        <f t="shared" si="146"/>
        <v>13000</v>
      </c>
      <c r="S754" s="85">
        <f t="shared" si="147"/>
        <v>13000</v>
      </c>
    </row>
    <row r="755" spans="2:19" ht="15" x14ac:dyDescent="0.25">
      <c r="B755" s="48">
        <f t="shared" si="144"/>
        <v>301</v>
      </c>
      <c r="C755" s="166"/>
      <c r="D755" s="166"/>
      <c r="E755" s="166">
        <v>10</v>
      </c>
      <c r="F755" s="167"/>
      <c r="G755" s="167"/>
      <c r="H755" s="166" t="s">
        <v>0</v>
      </c>
      <c r="I755" s="168">
        <f>I756+I757+I758+I765+I766+I768+I774+I767</f>
        <v>1552800</v>
      </c>
      <c r="J755" s="168">
        <f>J756+J757+J758+J765+J766+J768+J774+J767+J775</f>
        <v>42860</v>
      </c>
      <c r="K755" s="168">
        <f t="shared" si="142"/>
        <v>1595660</v>
      </c>
      <c r="L755" s="58"/>
      <c r="M755" s="168">
        <f>M776</f>
        <v>100000</v>
      </c>
      <c r="N755" s="168">
        <f>N776</f>
        <v>0</v>
      </c>
      <c r="O755" s="168">
        <f t="shared" si="143"/>
        <v>100000</v>
      </c>
      <c r="P755" s="59"/>
      <c r="Q755" s="169">
        <f t="shared" si="145"/>
        <v>1652800</v>
      </c>
      <c r="R755" s="169">
        <f t="shared" si="146"/>
        <v>42860</v>
      </c>
      <c r="S755" s="169">
        <f t="shared" si="147"/>
        <v>1695660</v>
      </c>
    </row>
    <row r="756" spans="2:19" x14ac:dyDescent="0.2">
      <c r="B756" s="48">
        <f t="shared" si="144"/>
        <v>302</v>
      </c>
      <c r="C756" s="9"/>
      <c r="D756" s="9"/>
      <c r="E756" s="9"/>
      <c r="F756" s="61" t="s">
        <v>120</v>
      </c>
      <c r="G756" s="8">
        <v>610</v>
      </c>
      <c r="H756" s="9" t="s">
        <v>132</v>
      </c>
      <c r="I756" s="62">
        <v>275400</v>
      </c>
      <c r="J756" s="62">
        <v>14828</v>
      </c>
      <c r="K756" s="62">
        <f t="shared" si="142"/>
        <v>290228</v>
      </c>
      <c r="L756" s="62"/>
      <c r="M756" s="62"/>
      <c r="N756" s="62"/>
      <c r="O756" s="62">
        <f t="shared" si="143"/>
        <v>0</v>
      </c>
      <c r="P756" s="63"/>
      <c r="Q756" s="64">
        <f t="shared" si="145"/>
        <v>275400</v>
      </c>
      <c r="R756" s="64">
        <f t="shared" si="146"/>
        <v>14828</v>
      </c>
      <c r="S756" s="64">
        <f t="shared" si="147"/>
        <v>290228</v>
      </c>
    </row>
    <row r="757" spans="2:19" x14ac:dyDescent="0.2">
      <c r="B757" s="48">
        <f t="shared" si="144"/>
        <v>303</v>
      </c>
      <c r="C757" s="9"/>
      <c r="D757" s="9"/>
      <c r="E757" s="9"/>
      <c r="F757" s="61" t="s">
        <v>120</v>
      </c>
      <c r="G757" s="8">
        <v>620</v>
      </c>
      <c r="H757" s="9" t="s">
        <v>125</v>
      </c>
      <c r="I757" s="62">
        <f>9910+3300+15690+2645+3000+46245+4625+5500+5500+22050</f>
        <v>118465</v>
      </c>
      <c r="J757" s="62">
        <v>-8970</v>
      </c>
      <c r="K757" s="62">
        <f t="shared" si="142"/>
        <v>109495</v>
      </c>
      <c r="L757" s="62"/>
      <c r="M757" s="62"/>
      <c r="N757" s="62"/>
      <c r="O757" s="62">
        <f t="shared" si="143"/>
        <v>0</v>
      </c>
      <c r="P757" s="63"/>
      <c r="Q757" s="64">
        <f t="shared" si="145"/>
        <v>118465</v>
      </c>
      <c r="R757" s="64">
        <f t="shared" si="146"/>
        <v>-8970</v>
      </c>
      <c r="S757" s="64">
        <f t="shared" si="147"/>
        <v>109495</v>
      </c>
    </row>
    <row r="758" spans="2:19" x14ac:dyDescent="0.2">
      <c r="B758" s="48">
        <f t="shared" si="144"/>
        <v>304</v>
      </c>
      <c r="C758" s="9"/>
      <c r="D758" s="9"/>
      <c r="E758" s="9"/>
      <c r="F758" s="61" t="s">
        <v>120</v>
      </c>
      <c r="G758" s="8">
        <v>630</v>
      </c>
      <c r="H758" s="9" t="s">
        <v>122</v>
      </c>
      <c r="I758" s="62">
        <f>SUM(I759:I764)</f>
        <v>59380</v>
      </c>
      <c r="J758" s="62">
        <f>SUM(J759:J764)</f>
        <v>0</v>
      </c>
      <c r="K758" s="62">
        <f t="shared" si="142"/>
        <v>59380</v>
      </c>
      <c r="L758" s="62"/>
      <c r="M758" s="62"/>
      <c r="N758" s="62"/>
      <c r="O758" s="62">
        <f t="shared" si="143"/>
        <v>0</v>
      </c>
      <c r="P758" s="63"/>
      <c r="Q758" s="64">
        <f t="shared" si="145"/>
        <v>59380</v>
      </c>
      <c r="R758" s="64">
        <f t="shared" si="146"/>
        <v>0</v>
      </c>
      <c r="S758" s="64">
        <f t="shared" si="147"/>
        <v>59380</v>
      </c>
    </row>
    <row r="759" spans="2:19" x14ac:dyDescent="0.2">
      <c r="B759" s="48">
        <f t="shared" ref="B759:B823" si="148">B758+1</f>
        <v>305</v>
      </c>
      <c r="C759" s="11"/>
      <c r="D759" s="11"/>
      <c r="E759" s="11"/>
      <c r="F759" s="65"/>
      <c r="G759" s="10">
        <v>631</v>
      </c>
      <c r="H759" s="11" t="s">
        <v>128</v>
      </c>
      <c r="I759" s="66">
        <v>100</v>
      </c>
      <c r="J759" s="66"/>
      <c r="K759" s="66">
        <f t="shared" si="142"/>
        <v>100</v>
      </c>
      <c r="L759" s="66"/>
      <c r="M759" s="66"/>
      <c r="N759" s="66"/>
      <c r="O759" s="66">
        <f t="shared" si="143"/>
        <v>0</v>
      </c>
      <c r="P759" s="67"/>
      <c r="Q759" s="68">
        <f t="shared" si="145"/>
        <v>100</v>
      </c>
      <c r="R759" s="68">
        <f t="shared" si="146"/>
        <v>0</v>
      </c>
      <c r="S759" s="68">
        <f t="shared" si="147"/>
        <v>100</v>
      </c>
    </row>
    <row r="760" spans="2:19" x14ac:dyDescent="0.2">
      <c r="B760" s="48">
        <f t="shared" si="148"/>
        <v>306</v>
      </c>
      <c r="C760" s="11"/>
      <c r="D760" s="11"/>
      <c r="E760" s="11"/>
      <c r="F760" s="65"/>
      <c r="G760" s="10">
        <v>632</v>
      </c>
      <c r="H760" s="11" t="s">
        <v>135</v>
      </c>
      <c r="I760" s="66">
        <v>37720</v>
      </c>
      <c r="J760" s="66"/>
      <c r="K760" s="66">
        <f t="shared" si="142"/>
        <v>37720</v>
      </c>
      <c r="L760" s="66"/>
      <c r="M760" s="66"/>
      <c r="N760" s="66"/>
      <c r="O760" s="66">
        <f t="shared" si="143"/>
        <v>0</v>
      </c>
      <c r="P760" s="67"/>
      <c r="Q760" s="68">
        <f t="shared" si="145"/>
        <v>37720</v>
      </c>
      <c r="R760" s="68">
        <f t="shared" si="146"/>
        <v>0</v>
      </c>
      <c r="S760" s="68">
        <f t="shared" si="147"/>
        <v>37720</v>
      </c>
    </row>
    <row r="761" spans="2:19" x14ac:dyDescent="0.2">
      <c r="B761" s="48">
        <f t="shared" si="148"/>
        <v>307</v>
      </c>
      <c r="C761" s="11"/>
      <c r="D761" s="11"/>
      <c r="E761" s="11"/>
      <c r="F761" s="65"/>
      <c r="G761" s="10">
        <v>633</v>
      </c>
      <c r="H761" s="11" t="s">
        <v>126</v>
      </c>
      <c r="I761" s="66">
        <f>1500+1000+400+500+600+500+100+500</f>
        <v>5100</v>
      </c>
      <c r="J761" s="66"/>
      <c r="K761" s="66">
        <f t="shared" si="142"/>
        <v>5100</v>
      </c>
      <c r="L761" s="66"/>
      <c r="M761" s="66"/>
      <c r="N761" s="66"/>
      <c r="O761" s="66">
        <f t="shared" si="143"/>
        <v>0</v>
      </c>
      <c r="P761" s="67"/>
      <c r="Q761" s="68">
        <f t="shared" si="145"/>
        <v>5100</v>
      </c>
      <c r="R761" s="68">
        <f t="shared" si="146"/>
        <v>0</v>
      </c>
      <c r="S761" s="68">
        <f t="shared" si="147"/>
        <v>5100</v>
      </c>
    </row>
    <row r="762" spans="2:19" x14ac:dyDescent="0.2">
      <c r="B762" s="48">
        <f t="shared" si="148"/>
        <v>308</v>
      </c>
      <c r="C762" s="11"/>
      <c r="D762" s="11"/>
      <c r="E762" s="11"/>
      <c r="F762" s="65"/>
      <c r="G762" s="10">
        <v>634</v>
      </c>
      <c r="H762" s="11" t="s">
        <v>133</v>
      </c>
      <c r="I762" s="66">
        <v>1500</v>
      </c>
      <c r="J762" s="66"/>
      <c r="K762" s="66">
        <f t="shared" si="142"/>
        <v>1500</v>
      </c>
      <c r="L762" s="66"/>
      <c r="M762" s="66"/>
      <c r="N762" s="66"/>
      <c r="O762" s="66">
        <f t="shared" si="143"/>
        <v>0</v>
      </c>
      <c r="P762" s="67"/>
      <c r="Q762" s="68">
        <f t="shared" si="145"/>
        <v>1500</v>
      </c>
      <c r="R762" s="68">
        <f t="shared" si="146"/>
        <v>0</v>
      </c>
      <c r="S762" s="68">
        <f t="shared" si="147"/>
        <v>1500</v>
      </c>
    </row>
    <row r="763" spans="2:19" x14ac:dyDescent="0.2">
      <c r="B763" s="48">
        <f t="shared" si="148"/>
        <v>309</v>
      </c>
      <c r="C763" s="11"/>
      <c r="D763" s="11"/>
      <c r="E763" s="11"/>
      <c r="F763" s="65"/>
      <c r="G763" s="10">
        <v>635</v>
      </c>
      <c r="H763" s="11" t="s">
        <v>134</v>
      </c>
      <c r="I763" s="66">
        <f>100+200+1000</f>
        <v>1300</v>
      </c>
      <c r="J763" s="66"/>
      <c r="K763" s="66">
        <f t="shared" si="142"/>
        <v>1300</v>
      </c>
      <c r="L763" s="66"/>
      <c r="M763" s="66"/>
      <c r="N763" s="66"/>
      <c r="O763" s="66">
        <f t="shared" si="143"/>
        <v>0</v>
      </c>
      <c r="P763" s="67"/>
      <c r="Q763" s="68">
        <f t="shared" si="145"/>
        <v>1300</v>
      </c>
      <c r="R763" s="68">
        <f t="shared" si="146"/>
        <v>0</v>
      </c>
      <c r="S763" s="68">
        <f t="shared" si="147"/>
        <v>1300</v>
      </c>
    </row>
    <row r="764" spans="2:19" x14ac:dyDescent="0.2">
      <c r="B764" s="48">
        <f t="shared" si="148"/>
        <v>310</v>
      </c>
      <c r="C764" s="11"/>
      <c r="D764" s="11"/>
      <c r="E764" s="11"/>
      <c r="F764" s="65"/>
      <c r="G764" s="10">
        <v>637</v>
      </c>
      <c r="H764" s="11" t="s">
        <v>123</v>
      </c>
      <c r="I764" s="66">
        <f>3500+600+1500+700+3500+1000+560+300+1500+500</f>
        <v>13660</v>
      </c>
      <c r="J764" s="66"/>
      <c r="K764" s="66">
        <f t="shared" si="142"/>
        <v>13660</v>
      </c>
      <c r="L764" s="66"/>
      <c r="M764" s="66"/>
      <c r="N764" s="66"/>
      <c r="O764" s="66">
        <f t="shared" si="143"/>
        <v>0</v>
      </c>
      <c r="P764" s="67"/>
      <c r="Q764" s="68">
        <f t="shared" si="145"/>
        <v>13660</v>
      </c>
      <c r="R764" s="68">
        <f t="shared" si="146"/>
        <v>0</v>
      </c>
      <c r="S764" s="68">
        <f t="shared" si="147"/>
        <v>13660</v>
      </c>
    </row>
    <row r="765" spans="2:19" s="164" customFormat="1" x14ac:dyDescent="0.2">
      <c r="B765" s="48">
        <f t="shared" si="148"/>
        <v>311</v>
      </c>
      <c r="C765" s="9"/>
      <c r="D765" s="9"/>
      <c r="E765" s="9"/>
      <c r="F765" s="61" t="s">
        <v>120</v>
      </c>
      <c r="G765" s="8">
        <v>640</v>
      </c>
      <c r="H765" s="9" t="s">
        <v>130</v>
      </c>
      <c r="I765" s="62">
        <f>500+8265</f>
        <v>8765</v>
      </c>
      <c r="J765" s="62"/>
      <c r="K765" s="62">
        <f t="shared" si="142"/>
        <v>8765</v>
      </c>
      <c r="L765" s="62"/>
      <c r="M765" s="62"/>
      <c r="N765" s="62"/>
      <c r="O765" s="62">
        <f t="shared" si="143"/>
        <v>0</v>
      </c>
      <c r="P765" s="63"/>
      <c r="Q765" s="64">
        <f t="shared" si="145"/>
        <v>8765</v>
      </c>
      <c r="R765" s="64">
        <f t="shared" si="146"/>
        <v>0</v>
      </c>
      <c r="S765" s="64">
        <f t="shared" si="147"/>
        <v>8765</v>
      </c>
    </row>
    <row r="766" spans="2:19" x14ac:dyDescent="0.2">
      <c r="B766" s="48">
        <f t="shared" si="148"/>
        <v>312</v>
      </c>
      <c r="C766" s="9"/>
      <c r="D766" s="9"/>
      <c r="E766" s="9"/>
      <c r="F766" s="61" t="s">
        <v>109</v>
      </c>
      <c r="G766" s="8">
        <v>610</v>
      </c>
      <c r="H766" s="9" t="s">
        <v>132</v>
      </c>
      <c r="I766" s="62">
        <f>654915+100-6535</f>
        <v>648480</v>
      </c>
      <c r="J766" s="62">
        <v>-50489</v>
      </c>
      <c r="K766" s="62">
        <f t="shared" si="142"/>
        <v>597991</v>
      </c>
      <c r="L766" s="62"/>
      <c r="M766" s="62"/>
      <c r="N766" s="62"/>
      <c r="O766" s="62">
        <f t="shared" si="143"/>
        <v>0</v>
      </c>
      <c r="P766" s="63"/>
      <c r="Q766" s="64">
        <f t="shared" si="145"/>
        <v>648480</v>
      </c>
      <c r="R766" s="64">
        <f t="shared" si="146"/>
        <v>-50489</v>
      </c>
      <c r="S766" s="64">
        <f t="shared" si="147"/>
        <v>597991</v>
      </c>
    </row>
    <row r="767" spans="2:19" s="164" customFormat="1" x14ac:dyDescent="0.2">
      <c r="B767" s="48">
        <f t="shared" si="148"/>
        <v>313</v>
      </c>
      <c r="C767" s="9"/>
      <c r="D767" s="9"/>
      <c r="E767" s="9"/>
      <c r="F767" s="61" t="s">
        <v>109</v>
      </c>
      <c r="G767" s="8">
        <v>620</v>
      </c>
      <c r="H767" s="9" t="s">
        <v>125</v>
      </c>
      <c r="I767" s="62">
        <f>241424+35-2350</f>
        <v>239109</v>
      </c>
      <c r="J767" s="62">
        <f>-25565+165</f>
        <v>-25400</v>
      </c>
      <c r="K767" s="62">
        <f t="shared" si="142"/>
        <v>213709</v>
      </c>
      <c r="L767" s="62"/>
      <c r="M767" s="62"/>
      <c r="N767" s="62"/>
      <c r="O767" s="62">
        <f t="shared" si="143"/>
        <v>0</v>
      </c>
      <c r="P767" s="63"/>
      <c r="Q767" s="64">
        <f t="shared" si="145"/>
        <v>239109</v>
      </c>
      <c r="R767" s="64">
        <f t="shared" si="146"/>
        <v>-25400</v>
      </c>
      <c r="S767" s="64">
        <f t="shared" si="147"/>
        <v>213709</v>
      </c>
    </row>
    <row r="768" spans="2:19" x14ac:dyDescent="0.2">
      <c r="B768" s="48">
        <f t="shared" si="148"/>
        <v>314</v>
      </c>
      <c r="C768" s="9"/>
      <c r="D768" s="9"/>
      <c r="E768" s="9"/>
      <c r="F768" s="61" t="s">
        <v>109</v>
      </c>
      <c r="G768" s="8">
        <v>630</v>
      </c>
      <c r="H768" s="9" t="s">
        <v>122</v>
      </c>
      <c r="I768" s="62">
        <f>I773+I772+I771+I770+I769</f>
        <v>174401</v>
      </c>
      <c r="J768" s="62">
        <f>J773+J772+J771+J770+J769</f>
        <v>-5965</v>
      </c>
      <c r="K768" s="62">
        <f t="shared" si="142"/>
        <v>168436</v>
      </c>
      <c r="L768" s="62"/>
      <c r="M768" s="62"/>
      <c r="N768" s="62"/>
      <c r="O768" s="62">
        <f t="shared" si="143"/>
        <v>0</v>
      </c>
      <c r="P768" s="63"/>
      <c r="Q768" s="64">
        <f t="shared" si="145"/>
        <v>174401</v>
      </c>
      <c r="R768" s="64">
        <f t="shared" si="146"/>
        <v>-5965</v>
      </c>
      <c r="S768" s="64">
        <f t="shared" si="147"/>
        <v>168436</v>
      </c>
    </row>
    <row r="769" spans="2:19" x14ac:dyDescent="0.2">
      <c r="B769" s="48">
        <f t="shared" si="148"/>
        <v>315</v>
      </c>
      <c r="C769" s="11"/>
      <c r="D769" s="11"/>
      <c r="E769" s="11"/>
      <c r="F769" s="65"/>
      <c r="G769" s="10">
        <v>631</v>
      </c>
      <c r="H769" s="11" t="s">
        <v>128</v>
      </c>
      <c r="I769" s="66">
        <v>100</v>
      </c>
      <c r="J769" s="66"/>
      <c r="K769" s="66">
        <f t="shared" si="142"/>
        <v>100</v>
      </c>
      <c r="L769" s="66"/>
      <c r="M769" s="66"/>
      <c r="N769" s="66"/>
      <c r="O769" s="66">
        <f t="shared" si="143"/>
        <v>0</v>
      </c>
      <c r="P769" s="67"/>
      <c r="Q769" s="68">
        <f t="shared" si="145"/>
        <v>100</v>
      </c>
      <c r="R769" s="68">
        <f t="shared" si="146"/>
        <v>0</v>
      </c>
      <c r="S769" s="68">
        <f t="shared" si="147"/>
        <v>100</v>
      </c>
    </row>
    <row r="770" spans="2:19" x14ac:dyDescent="0.2">
      <c r="B770" s="48">
        <f t="shared" si="148"/>
        <v>316</v>
      </c>
      <c r="C770" s="11"/>
      <c r="D770" s="11"/>
      <c r="E770" s="11"/>
      <c r="F770" s="65"/>
      <c r="G770" s="10">
        <v>632</v>
      </c>
      <c r="H770" s="11" t="s">
        <v>135</v>
      </c>
      <c r="I770" s="66">
        <f>1000+100+70000+10000+30000+4000+7100+120-7000</f>
        <v>115320</v>
      </c>
      <c r="J770" s="66">
        <v>-2100</v>
      </c>
      <c r="K770" s="66">
        <f t="shared" si="142"/>
        <v>113220</v>
      </c>
      <c r="L770" s="66"/>
      <c r="M770" s="66"/>
      <c r="N770" s="66"/>
      <c r="O770" s="66">
        <f t="shared" si="143"/>
        <v>0</v>
      </c>
      <c r="P770" s="67"/>
      <c r="Q770" s="68">
        <f t="shared" si="145"/>
        <v>115320</v>
      </c>
      <c r="R770" s="68">
        <f t="shared" si="146"/>
        <v>-2100</v>
      </c>
      <c r="S770" s="68">
        <f t="shared" si="147"/>
        <v>113220</v>
      </c>
    </row>
    <row r="771" spans="2:19" x14ac:dyDescent="0.2">
      <c r="B771" s="48">
        <f t="shared" si="148"/>
        <v>317</v>
      </c>
      <c r="C771" s="11"/>
      <c r="D771" s="11"/>
      <c r="E771" s="11"/>
      <c r="F771" s="65"/>
      <c r="G771" s="10">
        <v>633</v>
      </c>
      <c r="H771" s="11" t="s">
        <v>126</v>
      </c>
      <c r="I771" s="66">
        <v>22256</v>
      </c>
      <c r="J771" s="66">
        <v>300</v>
      </c>
      <c r="K771" s="66">
        <f t="shared" si="142"/>
        <v>22556</v>
      </c>
      <c r="L771" s="66"/>
      <c r="M771" s="66"/>
      <c r="N771" s="66"/>
      <c r="O771" s="66">
        <f t="shared" si="143"/>
        <v>0</v>
      </c>
      <c r="P771" s="67"/>
      <c r="Q771" s="68">
        <f t="shared" si="145"/>
        <v>22256</v>
      </c>
      <c r="R771" s="68">
        <f t="shared" si="146"/>
        <v>300</v>
      </c>
      <c r="S771" s="68">
        <f t="shared" si="147"/>
        <v>22556</v>
      </c>
    </row>
    <row r="772" spans="2:19" x14ac:dyDescent="0.2">
      <c r="B772" s="48">
        <f t="shared" si="148"/>
        <v>318</v>
      </c>
      <c r="C772" s="11"/>
      <c r="D772" s="11"/>
      <c r="E772" s="11"/>
      <c r="F772" s="65"/>
      <c r="G772" s="10">
        <v>635</v>
      </c>
      <c r="H772" s="11" t="s">
        <v>134</v>
      </c>
      <c r="I772" s="66">
        <f>100+200+1000+7000</f>
        <v>8300</v>
      </c>
      <c r="J772" s="66"/>
      <c r="K772" s="66">
        <f t="shared" si="142"/>
        <v>8300</v>
      </c>
      <c r="L772" s="66"/>
      <c r="M772" s="66"/>
      <c r="N772" s="66"/>
      <c r="O772" s="66">
        <f t="shared" si="143"/>
        <v>0</v>
      </c>
      <c r="P772" s="67"/>
      <c r="Q772" s="68">
        <f t="shared" si="145"/>
        <v>8300</v>
      </c>
      <c r="R772" s="68">
        <f t="shared" si="146"/>
        <v>0</v>
      </c>
      <c r="S772" s="68">
        <f t="shared" si="147"/>
        <v>8300</v>
      </c>
    </row>
    <row r="773" spans="2:19" x14ac:dyDescent="0.2">
      <c r="B773" s="48">
        <f t="shared" si="148"/>
        <v>319</v>
      </c>
      <c r="C773" s="11"/>
      <c r="D773" s="11"/>
      <c r="E773" s="11"/>
      <c r="F773" s="65"/>
      <c r="G773" s="10">
        <v>637</v>
      </c>
      <c r="H773" s="11" t="s">
        <v>123</v>
      </c>
      <c r="I773" s="66">
        <f>12375+5250+600+1500+400+2000+2500+1000+500+300+1500+500</f>
        <v>28425</v>
      </c>
      <c r="J773" s="66">
        <f>-5000+835</f>
        <v>-4165</v>
      </c>
      <c r="K773" s="66">
        <f t="shared" si="142"/>
        <v>24260</v>
      </c>
      <c r="L773" s="66"/>
      <c r="M773" s="66"/>
      <c r="N773" s="66"/>
      <c r="O773" s="66">
        <f t="shared" si="143"/>
        <v>0</v>
      </c>
      <c r="P773" s="67"/>
      <c r="Q773" s="68">
        <f t="shared" si="145"/>
        <v>28425</v>
      </c>
      <c r="R773" s="68">
        <f t="shared" si="146"/>
        <v>-4165</v>
      </c>
      <c r="S773" s="68">
        <f t="shared" si="147"/>
        <v>24260</v>
      </c>
    </row>
    <row r="774" spans="2:19" x14ac:dyDescent="0.2">
      <c r="B774" s="48">
        <f t="shared" si="148"/>
        <v>320</v>
      </c>
      <c r="C774" s="9"/>
      <c r="D774" s="9"/>
      <c r="E774" s="9"/>
      <c r="F774" s="61" t="s">
        <v>109</v>
      </c>
      <c r="G774" s="8">
        <v>640</v>
      </c>
      <c r="H774" s="9" t="s">
        <v>130</v>
      </c>
      <c r="I774" s="62">
        <f>17900+10400+500</f>
        <v>28800</v>
      </c>
      <c r="J774" s="62">
        <v>500</v>
      </c>
      <c r="K774" s="62">
        <f t="shared" si="142"/>
        <v>29300</v>
      </c>
      <c r="L774" s="62"/>
      <c r="M774" s="62"/>
      <c r="N774" s="62"/>
      <c r="O774" s="62">
        <f t="shared" si="143"/>
        <v>0</v>
      </c>
      <c r="P774" s="63"/>
      <c r="Q774" s="64">
        <f t="shared" si="145"/>
        <v>28800</v>
      </c>
      <c r="R774" s="64">
        <f t="shared" si="146"/>
        <v>500</v>
      </c>
      <c r="S774" s="64">
        <f t="shared" si="147"/>
        <v>29300</v>
      </c>
    </row>
    <row r="775" spans="2:19" x14ac:dyDescent="0.2">
      <c r="B775" s="48">
        <f t="shared" si="148"/>
        <v>321</v>
      </c>
      <c r="C775" s="9"/>
      <c r="D775" s="9"/>
      <c r="E775" s="9"/>
      <c r="F775" s="61"/>
      <c r="G775" s="8">
        <v>600</v>
      </c>
      <c r="H775" s="9" t="s">
        <v>607</v>
      </c>
      <c r="I775" s="62">
        <v>0</v>
      </c>
      <c r="J775" s="62">
        <v>118356</v>
      </c>
      <c r="K775" s="62">
        <f t="shared" si="142"/>
        <v>118356</v>
      </c>
      <c r="L775" s="62"/>
      <c r="M775" s="62"/>
      <c r="N775" s="62"/>
      <c r="O775" s="62"/>
      <c r="P775" s="63"/>
      <c r="Q775" s="64">
        <f t="shared" si="145"/>
        <v>0</v>
      </c>
      <c r="R775" s="64">
        <f t="shared" si="146"/>
        <v>118356</v>
      </c>
      <c r="S775" s="64">
        <f t="shared" si="147"/>
        <v>118356</v>
      </c>
    </row>
    <row r="776" spans="2:19" x14ac:dyDescent="0.2">
      <c r="B776" s="48">
        <f t="shared" si="148"/>
        <v>322</v>
      </c>
      <c r="C776" s="9"/>
      <c r="D776" s="9"/>
      <c r="E776" s="9"/>
      <c r="F776" s="61" t="s">
        <v>109</v>
      </c>
      <c r="G776" s="8">
        <v>710</v>
      </c>
      <c r="H776" s="9" t="s">
        <v>176</v>
      </c>
      <c r="I776" s="62"/>
      <c r="J776" s="62"/>
      <c r="K776" s="62">
        <f t="shared" si="142"/>
        <v>0</v>
      </c>
      <c r="L776" s="62"/>
      <c r="M776" s="62">
        <f>M777</f>
        <v>100000</v>
      </c>
      <c r="N776" s="62">
        <f>N777</f>
        <v>0</v>
      </c>
      <c r="O776" s="62">
        <f t="shared" si="143"/>
        <v>100000</v>
      </c>
      <c r="P776" s="63"/>
      <c r="Q776" s="64">
        <f t="shared" si="145"/>
        <v>100000</v>
      </c>
      <c r="R776" s="64">
        <f t="shared" si="146"/>
        <v>0</v>
      </c>
      <c r="S776" s="64">
        <f t="shared" si="147"/>
        <v>100000</v>
      </c>
    </row>
    <row r="777" spans="2:19" x14ac:dyDescent="0.2">
      <c r="B777" s="48">
        <f t="shared" si="148"/>
        <v>323</v>
      </c>
      <c r="C777" s="9"/>
      <c r="D777" s="9"/>
      <c r="E777" s="9"/>
      <c r="F777" s="65"/>
      <c r="G777" s="10">
        <v>716</v>
      </c>
      <c r="H777" s="11" t="s">
        <v>216</v>
      </c>
      <c r="I777" s="66"/>
      <c r="J777" s="66"/>
      <c r="K777" s="66">
        <f t="shared" si="142"/>
        <v>0</v>
      </c>
      <c r="L777" s="66"/>
      <c r="M777" s="66">
        <f>M778</f>
        <v>100000</v>
      </c>
      <c r="N777" s="66">
        <f>N778</f>
        <v>0</v>
      </c>
      <c r="O777" s="66">
        <f t="shared" si="143"/>
        <v>100000</v>
      </c>
      <c r="P777" s="67"/>
      <c r="Q777" s="68">
        <f t="shared" si="145"/>
        <v>100000</v>
      </c>
      <c r="R777" s="68">
        <f t="shared" si="146"/>
        <v>0</v>
      </c>
      <c r="S777" s="68">
        <f t="shared" si="147"/>
        <v>100000</v>
      </c>
    </row>
    <row r="778" spans="2:19" x14ac:dyDescent="0.2">
      <c r="B778" s="48">
        <f t="shared" si="148"/>
        <v>324</v>
      </c>
      <c r="C778" s="190"/>
      <c r="D778" s="190"/>
      <c r="E778" s="190"/>
      <c r="F778" s="188"/>
      <c r="G778" s="82"/>
      <c r="H778" s="13" t="s">
        <v>561</v>
      </c>
      <c r="I778" s="83"/>
      <c r="J778" s="83"/>
      <c r="K778" s="83">
        <f t="shared" si="142"/>
        <v>0</v>
      </c>
      <c r="L778" s="83"/>
      <c r="M778" s="83">
        <v>100000</v>
      </c>
      <c r="N778" s="83"/>
      <c r="O778" s="83">
        <f t="shared" si="143"/>
        <v>100000</v>
      </c>
      <c r="P778" s="84"/>
      <c r="Q778" s="85">
        <f>M778</f>
        <v>100000</v>
      </c>
      <c r="R778" s="85">
        <f>N778</f>
        <v>0</v>
      </c>
      <c r="S778" s="85">
        <f>O778</f>
        <v>100000</v>
      </c>
    </row>
    <row r="779" spans="2:19" ht="15" x14ac:dyDescent="0.25">
      <c r="B779" s="48">
        <f t="shared" si="148"/>
        <v>325</v>
      </c>
      <c r="C779" s="166"/>
      <c r="D779" s="166"/>
      <c r="E779" s="166">
        <v>11</v>
      </c>
      <c r="F779" s="167"/>
      <c r="G779" s="167"/>
      <c r="H779" s="166" t="s">
        <v>7</v>
      </c>
      <c r="I779" s="168">
        <f>I780+I781+I782+I789+I790+I791+I792+I800</f>
        <v>2512045</v>
      </c>
      <c r="J779" s="168">
        <f>J780+J781+J782+J789+J790+J791+J792+J800+J801</f>
        <v>200550</v>
      </c>
      <c r="K779" s="168">
        <f t="shared" si="142"/>
        <v>2712595</v>
      </c>
      <c r="L779" s="58"/>
      <c r="M779" s="168">
        <f>M802</f>
        <v>88620</v>
      </c>
      <c r="N779" s="168">
        <f>N802</f>
        <v>110000</v>
      </c>
      <c r="O779" s="168">
        <f t="shared" si="143"/>
        <v>198620</v>
      </c>
      <c r="P779" s="59"/>
      <c r="Q779" s="169">
        <f t="shared" ref="Q779:Q806" si="149">I779+M779</f>
        <v>2600665</v>
      </c>
      <c r="R779" s="169">
        <f t="shared" ref="R779:R806" si="150">J779+N779</f>
        <v>310550</v>
      </c>
      <c r="S779" s="169">
        <f t="shared" ref="S779:S806" si="151">K779+O779</f>
        <v>2911215</v>
      </c>
    </row>
    <row r="780" spans="2:19" x14ac:dyDescent="0.2">
      <c r="B780" s="48">
        <f t="shared" si="148"/>
        <v>326</v>
      </c>
      <c r="C780" s="9"/>
      <c r="D780" s="9"/>
      <c r="E780" s="9"/>
      <c r="F780" s="61" t="s">
        <v>120</v>
      </c>
      <c r="G780" s="8">
        <v>610</v>
      </c>
      <c r="H780" s="9" t="s">
        <v>132</v>
      </c>
      <c r="I780" s="62">
        <v>505240</v>
      </c>
      <c r="J780" s="62">
        <v>66700</v>
      </c>
      <c r="K780" s="62">
        <f t="shared" si="142"/>
        <v>571940</v>
      </c>
      <c r="L780" s="62"/>
      <c r="M780" s="62"/>
      <c r="N780" s="62"/>
      <c r="O780" s="62">
        <f t="shared" si="143"/>
        <v>0</v>
      </c>
      <c r="P780" s="63"/>
      <c r="Q780" s="64">
        <f t="shared" si="149"/>
        <v>505240</v>
      </c>
      <c r="R780" s="64">
        <f t="shared" si="150"/>
        <v>66700</v>
      </c>
      <c r="S780" s="64">
        <f t="shared" si="151"/>
        <v>571940</v>
      </c>
    </row>
    <row r="781" spans="2:19" x14ac:dyDescent="0.2">
      <c r="B781" s="48">
        <f t="shared" si="148"/>
        <v>327</v>
      </c>
      <c r="C781" s="9"/>
      <c r="D781" s="9"/>
      <c r="E781" s="9"/>
      <c r="F781" s="61" t="s">
        <v>120</v>
      </c>
      <c r="G781" s="8">
        <v>620</v>
      </c>
      <c r="H781" s="9" t="s">
        <v>125</v>
      </c>
      <c r="I781" s="62">
        <v>186536</v>
      </c>
      <c r="J781" s="62">
        <v>14381</v>
      </c>
      <c r="K781" s="62">
        <f t="shared" si="142"/>
        <v>200917</v>
      </c>
      <c r="L781" s="62"/>
      <c r="M781" s="62"/>
      <c r="N781" s="62"/>
      <c r="O781" s="62">
        <f t="shared" si="143"/>
        <v>0</v>
      </c>
      <c r="P781" s="63"/>
      <c r="Q781" s="64">
        <f t="shared" si="149"/>
        <v>186536</v>
      </c>
      <c r="R781" s="64">
        <f t="shared" si="150"/>
        <v>14381</v>
      </c>
      <c r="S781" s="64">
        <f t="shared" si="151"/>
        <v>200917</v>
      </c>
    </row>
    <row r="782" spans="2:19" x14ac:dyDescent="0.2">
      <c r="B782" s="48">
        <f t="shared" si="148"/>
        <v>328</v>
      </c>
      <c r="C782" s="9"/>
      <c r="D782" s="9"/>
      <c r="E782" s="9"/>
      <c r="F782" s="61" t="s">
        <v>120</v>
      </c>
      <c r="G782" s="8">
        <v>630</v>
      </c>
      <c r="H782" s="9" t="s">
        <v>122</v>
      </c>
      <c r="I782" s="62">
        <f>SUM(I784:I788)</f>
        <v>115044</v>
      </c>
      <c r="J782" s="62">
        <f>SUM(J783:J788)</f>
        <v>-21560</v>
      </c>
      <c r="K782" s="62">
        <f t="shared" si="142"/>
        <v>93484</v>
      </c>
      <c r="L782" s="62"/>
      <c r="M782" s="62"/>
      <c r="N782" s="62"/>
      <c r="O782" s="62">
        <f t="shared" si="143"/>
        <v>0</v>
      </c>
      <c r="P782" s="63"/>
      <c r="Q782" s="64">
        <f t="shared" si="149"/>
        <v>115044</v>
      </c>
      <c r="R782" s="64">
        <f t="shared" si="150"/>
        <v>-21560</v>
      </c>
      <c r="S782" s="64">
        <f t="shared" si="151"/>
        <v>93484</v>
      </c>
    </row>
    <row r="783" spans="2:19" x14ac:dyDescent="0.2">
      <c r="B783" s="48">
        <f t="shared" si="148"/>
        <v>329</v>
      </c>
      <c r="C783" s="11"/>
      <c r="D783" s="11"/>
      <c r="E783" s="11"/>
      <c r="F783" s="65"/>
      <c r="G783" s="10">
        <v>631</v>
      </c>
      <c r="H783" s="11" t="s">
        <v>128</v>
      </c>
      <c r="I783" s="66">
        <v>0</v>
      </c>
      <c r="J783" s="66">
        <v>100</v>
      </c>
      <c r="K783" s="66">
        <f t="shared" si="142"/>
        <v>100</v>
      </c>
      <c r="L783" s="66"/>
      <c r="M783" s="66"/>
      <c r="N783" s="66"/>
      <c r="O783" s="66">
        <f>M783+N783</f>
        <v>0</v>
      </c>
      <c r="P783" s="67"/>
      <c r="Q783" s="68">
        <f t="shared" si="149"/>
        <v>0</v>
      </c>
      <c r="R783" s="68">
        <f t="shared" si="150"/>
        <v>100</v>
      </c>
      <c r="S783" s="68">
        <f t="shared" si="151"/>
        <v>100</v>
      </c>
    </row>
    <row r="784" spans="2:19" x14ac:dyDescent="0.2">
      <c r="B784" s="48">
        <f t="shared" si="148"/>
        <v>330</v>
      </c>
      <c r="C784" s="11"/>
      <c r="D784" s="11"/>
      <c r="E784" s="11"/>
      <c r="F784" s="65"/>
      <c r="G784" s="10">
        <v>632</v>
      </c>
      <c r="H784" s="11" t="s">
        <v>135</v>
      </c>
      <c r="I784" s="66">
        <f>720+280+180+1280+2720+2400+2000+20000+7600</f>
        <v>37180</v>
      </c>
      <c r="J784" s="66">
        <v>-13000</v>
      </c>
      <c r="K784" s="66">
        <f t="shared" si="142"/>
        <v>24180</v>
      </c>
      <c r="L784" s="66"/>
      <c r="M784" s="66"/>
      <c r="N784" s="66"/>
      <c r="O784" s="66">
        <f t="shared" si="143"/>
        <v>0</v>
      </c>
      <c r="P784" s="67"/>
      <c r="Q784" s="68">
        <f t="shared" si="149"/>
        <v>37180</v>
      </c>
      <c r="R784" s="68">
        <f t="shared" si="150"/>
        <v>-13000</v>
      </c>
      <c r="S784" s="68">
        <f t="shared" si="151"/>
        <v>24180</v>
      </c>
    </row>
    <row r="785" spans="2:19" x14ac:dyDescent="0.2">
      <c r="B785" s="48">
        <f t="shared" si="148"/>
        <v>331</v>
      </c>
      <c r="C785" s="11"/>
      <c r="D785" s="11"/>
      <c r="E785" s="11"/>
      <c r="F785" s="65"/>
      <c r="G785" s="10">
        <v>633</v>
      </c>
      <c r="H785" s="11" t="s">
        <v>126</v>
      </c>
      <c r="I785" s="66">
        <f>2800+130+100+300+650+1500+1000+2000+1000+2500+2000+500+1800+980+850+2800+300+520+2000+435</f>
        <v>24165</v>
      </c>
      <c r="J785" s="66">
        <v>-660</v>
      </c>
      <c r="K785" s="66">
        <f t="shared" si="142"/>
        <v>23505</v>
      </c>
      <c r="L785" s="66"/>
      <c r="M785" s="66"/>
      <c r="N785" s="66"/>
      <c r="O785" s="66">
        <f t="shared" si="143"/>
        <v>0</v>
      </c>
      <c r="P785" s="67"/>
      <c r="Q785" s="68">
        <f t="shared" si="149"/>
        <v>24165</v>
      </c>
      <c r="R785" s="68">
        <f t="shared" si="150"/>
        <v>-660</v>
      </c>
      <c r="S785" s="68">
        <f t="shared" si="151"/>
        <v>23505</v>
      </c>
    </row>
    <row r="786" spans="2:19" x14ac:dyDescent="0.2">
      <c r="B786" s="48">
        <f t="shared" si="148"/>
        <v>332</v>
      </c>
      <c r="C786" s="11"/>
      <c r="D786" s="11"/>
      <c r="E786" s="11"/>
      <c r="F786" s="65"/>
      <c r="G786" s="10">
        <v>635</v>
      </c>
      <c r="H786" s="11" t="s">
        <v>134</v>
      </c>
      <c r="I786" s="66">
        <f>1680+1800+500+2400+2800+1140+100+600+350+200</f>
        <v>11570</v>
      </c>
      <c r="J786" s="66">
        <v>-5000</v>
      </c>
      <c r="K786" s="66">
        <f t="shared" si="142"/>
        <v>6570</v>
      </c>
      <c r="L786" s="66"/>
      <c r="M786" s="66"/>
      <c r="N786" s="66"/>
      <c r="O786" s="66">
        <f t="shared" si="143"/>
        <v>0</v>
      </c>
      <c r="P786" s="67"/>
      <c r="Q786" s="68">
        <f t="shared" si="149"/>
        <v>11570</v>
      </c>
      <c r="R786" s="68">
        <f t="shared" si="150"/>
        <v>-5000</v>
      </c>
      <c r="S786" s="68">
        <f t="shared" si="151"/>
        <v>6570</v>
      </c>
    </row>
    <row r="787" spans="2:19" x14ac:dyDescent="0.2">
      <c r="B787" s="48">
        <f t="shared" si="148"/>
        <v>333</v>
      </c>
      <c r="C787" s="11"/>
      <c r="D787" s="11"/>
      <c r="E787" s="11"/>
      <c r="F787" s="65"/>
      <c r="G787" s="10">
        <v>636</v>
      </c>
      <c r="H787" s="11" t="s">
        <v>127</v>
      </c>
      <c r="I787" s="66">
        <v>1700</v>
      </c>
      <c r="J787" s="66"/>
      <c r="K787" s="66">
        <f t="shared" si="142"/>
        <v>1700</v>
      </c>
      <c r="L787" s="66"/>
      <c r="M787" s="66"/>
      <c r="N787" s="66"/>
      <c r="O787" s="66">
        <f t="shared" si="143"/>
        <v>0</v>
      </c>
      <c r="P787" s="67"/>
      <c r="Q787" s="68">
        <f t="shared" si="149"/>
        <v>1700</v>
      </c>
      <c r="R787" s="68">
        <f t="shared" si="150"/>
        <v>0</v>
      </c>
      <c r="S787" s="68">
        <f t="shared" si="151"/>
        <v>1700</v>
      </c>
    </row>
    <row r="788" spans="2:19" x14ac:dyDescent="0.2">
      <c r="B788" s="48">
        <f t="shared" si="148"/>
        <v>334</v>
      </c>
      <c r="C788" s="11"/>
      <c r="D788" s="11"/>
      <c r="E788" s="11"/>
      <c r="F788" s="65"/>
      <c r="G788" s="10">
        <v>637</v>
      </c>
      <c r="H788" s="11" t="s">
        <v>123</v>
      </c>
      <c r="I788" s="66">
        <v>40429</v>
      </c>
      <c r="J788" s="66">
        <v>-3000</v>
      </c>
      <c r="K788" s="66">
        <f t="shared" si="142"/>
        <v>37429</v>
      </c>
      <c r="L788" s="66"/>
      <c r="M788" s="66"/>
      <c r="N788" s="66"/>
      <c r="O788" s="66">
        <f t="shared" si="143"/>
        <v>0</v>
      </c>
      <c r="P788" s="67"/>
      <c r="Q788" s="68">
        <f t="shared" si="149"/>
        <v>40429</v>
      </c>
      <c r="R788" s="68">
        <f t="shared" si="150"/>
        <v>-3000</v>
      </c>
      <c r="S788" s="68">
        <f t="shared" si="151"/>
        <v>37429</v>
      </c>
    </row>
    <row r="789" spans="2:19" x14ac:dyDescent="0.2">
      <c r="B789" s="48">
        <f t="shared" si="148"/>
        <v>335</v>
      </c>
      <c r="C789" s="9"/>
      <c r="D789" s="9"/>
      <c r="E789" s="9"/>
      <c r="F789" s="61" t="s">
        <v>120</v>
      </c>
      <c r="G789" s="8">
        <v>640</v>
      </c>
      <c r="H789" s="9" t="s">
        <v>130</v>
      </c>
      <c r="I789" s="62">
        <f>5400+900+4000</f>
        <v>10300</v>
      </c>
      <c r="J789" s="62"/>
      <c r="K789" s="62">
        <f t="shared" si="142"/>
        <v>10300</v>
      </c>
      <c r="L789" s="62"/>
      <c r="M789" s="62"/>
      <c r="N789" s="62"/>
      <c r="O789" s="62">
        <f t="shared" si="143"/>
        <v>0</v>
      </c>
      <c r="P789" s="63"/>
      <c r="Q789" s="64">
        <f t="shared" si="149"/>
        <v>10300</v>
      </c>
      <c r="R789" s="64">
        <f t="shared" si="150"/>
        <v>0</v>
      </c>
      <c r="S789" s="64">
        <f t="shared" si="151"/>
        <v>10300</v>
      </c>
    </row>
    <row r="790" spans="2:19" x14ac:dyDescent="0.2">
      <c r="B790" s="48">
        <f t="shared" si="148"/>
        <v>336</v>
      </c>
      <c r="C790" s="9"/>
      <c r="D790" s="9"/>
      <c r="E790" s="9"/>
      <c r="F790" s="61" t="s">
        <v>109</v>
      </c>
      <c r="G790" s="8">
        <v>610</v>
      </c>
      <c r="H790" s="9" t="s">
        <v>132</v>
      </c>
      <c r="I790" s="62">
        <f>904045+100</f>
        <v>904145</v>
      </c>
      <c r="J790" s="62">
        <v>100050</v>
      </c>
      <c r="K790" s="62">
        <f t="shared" si="142"/>
        <v>1004195</v>
      </c>
      <c r="L790" s="62"/>
      <c r="M790" s="62"/>
      <c r="N790" s="62"/>
      <c r="O790" s="62">
        <f t="shared" si="143"/>
        <v>0</v>
      </c>
      <c r="P790" s="63"/>
      <c r="Q790" s="64">
        <f t="shared" si="149"/>
        <v>904145</v>
      </c>
      <c r="R790" s="64">
        <f t="shared" si="150"/>
        <v>100050</v>
      </c>
      <c r="S790" s="64">
        <f t="shared" si="151"/>
        <v>1004195</v>
      </c>
    </row>
    <row r="791" spans="2:19" x14ac:dyDescent="0.2">
      <c r="B791" s="48">
        <f t="shared" si="148"/>
        <v>337</v>
      </c>
      <c r="C791" s="9"/>
      <c r="D791" s="9"/>
      <c r="E791" s="9"/>
      <c r="F791" s="61" t="s">
        <v>109</v>
      </c>
      <c r="G791" s="8">
        <v>620</v>
      </c>
      <c r="H791" s="9" t="s">
        <v>125</v>
      </c>
      <c r="I791" s="62">
        <f>346433+35</f>
        <v>346468</v>
      </c>
      <c r="J791" s="62">
        <v>21500</v>
      </c>
      <c r="K791" s="62">
        <f t="shared" si="142"/>
        <v>367968</v>
      </c>
      <c r="L791" s="62"/>
      <c r="M791" s="62"/>
      <c r="N791" s="62"/>
      <c r="O791" s="62">
        <f t="shared" si="143"/>
        <v>0</v>
      </c>
      <c r="P791" s="63"/>
      <c r="Q791" s="64">
        <f t="shared" si="149"/>
        <v>346468</v>
      </c>
      <c r="R791" s="64">
        <f t="shared" si="150"/>
        <v>21500</v>
      </c>
      <c r="S791" s="64">
        <f t="shared" si="151"/>
        <v>367968</v>
      </c>
    </row>
    <row r="792" spans="2:19" x14ac:dyDescent="0.2">
      <c r="B792" s="48">
        <f t="shared" si="148"/>
        <v>338</v>
      </c>
      <c r="C792" s="9"/>
      <c r="D792" s="9"/>
      <c r="E792" s="9"/>
      <c r="F792" s="61" t="s">
        <v>109</v>
      </c>
      <c r="G792" s="8">
        <v>630</v>
      </c>
      <c r="H792" s="9" t="s">
        <v>122</v>
      </c>
      <c r="I792" s="62">
        <f>I799+I798+I797+I796+I795+I794</f>
        <v>432312</v>
      </c>
      <c r="J792" s="62">
        <f>SUM(J793:J799)</f>
        <v>-57016</v>
      </c>
      <c r="K792" s="62">
        <f t="shared" si="142"/>
        <v>375296</v>
      </c>
      <c r="L792" s="62"/>
      <c r="M792" s="62"/>
      <c r="N792" s="62"/>
      <c r="O792" s="62">
        <f t="shared" si="143"/>
        <v>0</v>
      </c>
      <c r="P792" s="63"/>
      <c r="Q792" s="64">
        <f t="shared" si="149"/>
        <v>432312</v>
      </c>
      <c r="R792" s="64">
        <f t="shared" si="150"/>
        <v>-57016</v>
      </c>
      <c r="S792" s="64">
        <f t="shared" si="151"/>
        <v>375296</v>
      </c>
    </row>
    <row r="793" spans="2:19" x14ac:dyDescent="0.2">
      <c r="B793" s="48">
        <f t="shared" si="148"/>
        <v>339</v>
      </c>
      <c r="C793" s="11"/>
      <c r="D793" s="11"/>
      <c r="E793" s="11"/>
      <c r="F793" s="65"/>
      <c r="G793" s="10">
        <v>631</v>
      </c>
      <c r="H793" s="11" t="s">
        <v>128</v>
      </c>
      <c r="I793" s="66">
        <v>0</v>
      </c>
      <c r="J793" s="66">
        <v>120</v>
      </c>
      <c r="K793" s="66">
        <f>I793+J793</f>
        <v>120</v>
      </c>
      <c r="L793" s="66"/>
      <c r="M793" s="66"/>
      <c r="N793" s="66"/>
      <c r="O793" s="66">
        <f t="shared" si="143"/>
        <v>0</v>
      </c>
      <c r="P793" s="67"/>
      <c r="Q793" s="68">
        <f t="shared" si="149"/>
        <v>0</v>
      </c>
      <c r="R793" s="68">
        <f t="shared" si="150"/>
        <v>120</v>
      </c>
      <c r="S793" s="68">
        <f t="shared" si="151"/>
        <v>120</v>
      </c>
    </row>
    <row r="794" spans="2:19" x14ac:dyDescent="0.2">
      <c r="B794" s="48">
        <f>B792+1</f>
        <v>339</v>
      </c>
      <c r="C794" s="11"/>
      <c r="D794" s="11"/>
      <c r="E794" s="11"/>
      <c r="F794" s="65"/>
      <c r="G794" s="10">
        <v>632</v>
      </c>
      <c r="H794" s="11" t="s">
        <v>135</v>
      </c>
      <c r="I794" s="66">
        <f>925+520+350+2000+3080+3000+20000+2422+14060+154300+30276+30000+17400</f>
        <v>278333</v>
      </c>
      <c r="J794" s="66">
        <v>-50000</v>
      </c>
      <c r="K794" s="66">
        <f t="shared" si="142"/>
        <v>228333</v>
      </c>
      <c r="L794" s="66"/>
      <c r="M794" s="66"/>
      <c r="N794" s="66"/>
      <c r="O794" s="66">
        <f t="shared" si="143"/>
        <v>0</v>
      </c>
      <c r="P794" s="67"/>
      <c r="Q794" s="68">
        <f t="shared" si="149"/>
        <v>278333</v>
      </c>
      <c r="R794" s="68">
        <f t="shared" si="150"/>
        <v>-50000</v>
      </c>
      <c r="S794" s="68">
        <f t="shared" si="151"/>
        <v>228333</v>
      </c>
    </row>
    <row r="795" spans="2:19" x14ac:dyDescent="0.2">
      <c r="B795" s="48">
        <f t="shared" si="148"/>
        <v>340</v>
      </c>
      <c r="C795" s="11"/>
      <c r="D795" s="11"/>
      <c r="E795" s="11"/>
      <c r="F795" s="65"/>
      <c r="G795" s="10">
        <v>633</v>
      </c>
      <c r="H795" s="11" t="s">
        <v>126</v>
      </c>
      <c r="I795" s="66">
        <v>50160</v>
      </c>
      <c r="J795" s="66">
        <v>500</v>
      </c>
      <c r="K795" s="66">
        <f t="shared" ref="K795:K863" si="152">I795+J795</f>
        <v>50660</v>
      </c>
      <c r="L795" s="66"/>
      <c r="M795" s="66"/>
      <c r="N795" s="66"/>
      <c r="O795" s="66">
        <f t="shared" ref="O795:O863" si="153">M795+N795</f>
        <v>0</v>
      </c>
      <c r="P795" s="67"/>
      <c r="Q795" s="68">
        <f t="shared" si="149"/>
        <v>50160</v>
      </c>
      <c r="R795" s="68">
        <f t="shared" si="150"/>
        <v>500</v>
      </c>
      <c r="S795" s="68">
        <f t="shared" si="151"/>
        <v>50660</v>
      </c>
    </row>
    <row r="796" spans="2:19" x14ac:dyDescent="0.2">
      <c r="B796" s="48">
        <f t="shared" si="148"/>
        <v>341</v>
      </c>
      <c r="C796" s="11"/>
      <c r="D796" s="11"/>
      <c r="E796" s="11"/>
      <c r="F796" s="65"/>
      <c r="G796" s="10">
        <v>634</v>
      </c>
      <c r="H796" s="11" t="s">
        <v>133</v>
      </c>
      <c r="I796" s="66">
        <v>1610</v>
      </c>
      <c r="J796" s="66"/>
      <c r="K796" s="66">
        <f t="shared" si="152"/>
        <v>1610</v>
      </c>
      <c r="L796" s="66"/>
      <c r="M796" s="66"/>
      <c r="N796" s="66"/>
      <c r="O796" s="66">
        <f t="shared" si="153"/>
        <v>0</v>
      </c>
      <c r="P796" s="67"/>
      <c r="Q796" s="68">
        <f t="shared" si="149"/>
        <v>1610</v>
      </c>
      <c r="R796" s="68">
        <f t="shared" si="150"/>
        <v>0</v>
      </c>
      <c r="S796" s="68">
        <f t="shared" si="151"/>
        <v>1610</v>
      </c>
    </row>
    <row r="797" spans="2:19" x14ac:dyDescent="0.2">
      <c r="B797" s="48">
        <f t="shared" si="148"/>
        <v>342</v>
      </c>
      <c r="C797" s="11"/>
      <c r="D797" s="11"/>
      <c r="E797" s="11"/>
      <c r="F797" s="65"/>
      <c r="G797" s="10">
        <v>635</v>
      </c>
      <c r="H797" s="11" t="s">
        <v>134</v>
      </c>
      <c r="I797" s="66">
        <f>3360+4000+500+3600+4200+1900+150+800+530+300+5000-6000</f>
        <v>18340</v>
      </c>
      <c r="J797" s="66">
        <v>-4636</v>
      </c>
      <c r="K797" s="66">
        <f t="shared" si="152"/>
        <v>13704</v>
      </c>
      <c r="L797" s="66"/>
      <c r="M797" s="66"/>
      <c r="N797" s="66"/>
      <c r="O797" s="66">
        <f t="shared" si="153"/>
        <v>0</v>
      </c>
      <c r="P797" s="67"/>
      <c r="Q797" s="68">
        <f t="shared" si="149"/>
        <v>18340</v>
      </c>
      <c r="R797" s="68">
        <f t="shared" si="150"/>
        <v>-4636</v>
      </c>
      <c r="S797" s="68">
        <f t="shared" si="151"/>
        <v>13704</v>
      </c>
    </row>
    <row r="798" spans="2:19" x14ac:dyDescent="0.2">
      <c r="B798" s="48">
        <f t="shared" si="148"/>
        <v>343</v>
      </c>
      <c r="C798" s="11"/>
      <c r="D798" s="11"/>
      <c r="E798" s="11"/>
      <c r="F798" s="65"/>
      <c r="G798" s="10">
        <v>636</v>
      </c>
      <c r="H798" s="11" t="s">
        <v>127</v>
      </c>
      <c r="I798" s="66">
        <v>2600</v>
      </c>
      <c r="J798" s="66"/>
      <c r="K798" s="66">
        <f t="shared" si="152"/>
        <v>2600</v>
      </c>
      <c r="L798" s="66"/>
      <c r="M798" s="66"/>
      <c r="N798" s="66"/>
      <c r="O798" s="66">
        <f t="shared" si="153"/>
        <v>0</v>
      </c>
      <c r="P798" s="67"/>
      <c r="Q798" s="68">
        <f t="shared" si="149"/>
        <v>2600</v>
      </c>
      <c r="R798" s="68">
        <f t="shared" si="150"/>
        <v>0</v>
      </c>
      <c r="S798" s="68">
        <f t="shared" si="151"/>
        <v>2600</v>
      </c>
    </row>
    <row r="799" spans="2:19" x14ac:dyDescent="0.2">
      <c r="B799" s="48">
        <f t="shared" si="148"/>
        <v>344</v>
      </c>
      <c r="C799" s="11"/>
      <c r="D799" s="11"/>
      <c r="E799" s="11"/>
      <c r="F799" s="65"/>
      <c r="G799" s="10">
        <v>637</v>
      </c>
      <c r="H799" s="11" t="s">
        <v>123</v>
      </c>
      <c r="I799" s="66">
        <v>81269</v>
      </c>
      <c r="J799" s="66">
        <v>-3000</v>
      </c>
      <c r="K799" s="66">
        <f t="shared" si="152"/>
        <v>78269</v>
      </c>
      <c r="L799" s="66"/>
      <c r="M799" s="66"/>
      <c r="N799" s="66"/>
      <c r="O799" s="66">
        <f t="shared" si="153"/>
        <v>0</v>
      </c>
      <c r="P799" s="67"/>
      <c r="Q799" s="68">
        <f t="shared" si="149"/>
        <v>81269</v>
      </c>
      <c r="R799" s="68">
        <f t="shared" si="150"/>
        <v>-3000</v>
      </c>
      <c r="S799" s="68">
        <f t="shared" si="151"/>
        <v>78269</v>
      </c>
    </row>
    <row r="800" spans="2:19" x14ac:dyDescent="0.2">
      <c r="B800" s="48">
        <f t="shared" si="148"/>
        <v>345</v>
      </c>
      <c r="C800" s="9"/>
      <c r="D800" s="9"/>
      <c r="E800" s="9"/>
      <c r="F800" s="61" t="s">
        <v>109</v>
      </c>
      <c r="G800" s="8">
        <v>640</v>
      </c>
      <c r="H800" s="9" t="s">
        <v>130</v>
      </c>
      <c r="I800" s="62">
        <f>1300+4750+1250+30+470+3500+100+100+450+50</f>
        <v>12000</v>
      </c>
      <c r="J800" s="62">
        <v>-2364</v>
      </c>
      <c r="K800" s="62">
        <f t="shared" si="152"/>
        <v>9636</v>
      </c>
      <c r="L800" s="62"/>
      <c r="M800" s="62"/>
      <c r="N800" s="62"/>
      <c r="O800" s="62">
        <f t="shared" si="153"/>
        <v>0</v>
      </c>
      <c r="P800" s="63"/>
      <c r="Q800" s="64">
        <f t="shared" si="149"/>
        <v>12000</v>
      </c>
      <c r="R800" s="64">
        <f t="shared" si="150"/>
        <v>-2364</v>
      </c>
      <c r="S800" s="64">
        <f t="shared" si="151"/>
        <v>9636</v>
      </c>
    </row>
    <row r="801" spans="2:19" x14ac:dyDescent="0.2">
      <c r="B801" s="48">
        <f t="shared" si="148"/>
        <v>346</v>
      </c>
      <c r="C801" s="9"/>
      <c r="D801" s="9"/>
      <c r="E801" s="9"/>
      <c r="F801" s="61"/>
      <c r="G801" s="8">
        <v>600</v>
      </c>
      <c r="H801" s="9" t="s">
        <v>607</v>
      </c>
      <c r="I801" s="62">
        <v>0</v>
      </c>
      <c r="J801" s="62">
        <v>78859</v>
      </c>
      <c r="K801" s="62">
        <f>I801+J801</f>
        <v>78859</v>
      </c>
      <c r="L801" s="62"/>
      <c r="M801" s="62"/>
      <c r="N801" s="62"/>
      <c r="O801" s="62">
        <f>M801+N801</f>
        <v>0</v>
      </c>
      <c r="P801" s="63"/>
      <c r="Q801" s="64">
        <f t="shared" si="149"/>
        <v>0</v>
      </c>
      <c r="R801" s="64">
        <f t="shared" si="150"/>
        <v>78859</v>
      </c>
      <c r="S801" s="64">
        <f t="shared" si="151"/>
        <v>78859</v>
      </c>
    </row>
    <row r="802" spans="2:19" x14ac:dyDescent="0.2">
      <c r="B802" s="48">
        <f t="shared" si="148"/>
        <v>347</v>
      </c>
      <c r="C802" s="9"/>
      <c r="D802" s="9"/>
      <c r="E802" s="9"/>
      <c r="F802" s="61" t="s">
        <v>109</v>
      </c>
      <c r="G802" s="8">
        <v>710</v>
      </c>
      <c r="H802" s="9" t="s">
        <v>176</v>
      </c>
      <c r="I802" s="62"/>
      <c r="J802" s="62"/>
      <c r="K802" s="62">
        <f t="shared" si="152"/>
        <v>0</v>
      </c>
      <c r="L802" s="62"/>
      <c r="M802" s="62">
        <f>M805+M803</f>
        <v>88620</v>
      </c>
      <c r="N802" s="62">
        <f>N805+N803</f>
        <v>110000</v>
      </c>
      <c r="O802" s="62">
        <f t="shared" si="153"/>
        <v>198620</v>
      </c>
      <c r="P802" s="63"/>
      <c r="Q802" s="64">
        <f t="shared" si="149"/>
        <v>88620</v>
      </c>
      <c r="R802" s="64">
        <f t="shared" si="150"/>
        <v>110000</v>
      </c>
      <c r="S802" s="64">
        <f t="shared" si="151"/>
        <v>198620</v>
      </c>
    </row>
    <row r="803" spans="2:19" x14ac:dyDescent="0.2">
      <c r="B803" s="48">
        <f t="shared" si="148"/>
        <v>348</v>
      </c>
      <c r="C803" s="9"/>
      <c r="D803" s="9"/>
      <c r="E803" s="9"/>
      <c r="F803" s="61"/>
      <c r="G803" s="10">
        <v>713</v>
      </c>
      <c r="H803" s="11" t="s">
        <v>219</v>
      </c>
      <c r="I803" s="66"/>
      <c r="J803" s="66"/>
      <c r="K803" s="66">
        <f t="shared" si="152"/>
        <v>0</v>
      </c>
      <c r="L803" s="66"/>
      <c r="M803" s="66">
        <f>M804</f>
        <v>6000</v>
      </c>
      <c r="N803" s="66">
        <f>N804</f>
        <v>0</v>
      </c>
      <c r="O803" s="66">
        <f t="shared" si="153"/>
        <v>6000</v>
      </c>
      <c r="P803" s="67"/>
      <c r="Q803" s="68">
        <f t="shared" si="149"/>
        <v>6000</v>
      </c>
      <c r="R803" s="68">
        <f t="shared" si="150"/>
        <v>0</v>
      </c>
      <c r="S803" s="68">
        <f t="shared" si="151"/>
        <v>6000</v>
      </c>
    </row>
    <row r="804" spans="2:19" x14ac:dyDescent="0.2">
      <c r="B804" s="48">
        <f t="shared" si="148"/>
        <v>349</v>
      </c>
      <c r="C804" s="9"/>
      <c r="D804" s="9"/>
      <c r="E804" s="9"/>
      <c r="F804" s="61"/>
      <c r="G804" s="10"/>
      <c r="H804" s="13" t="s">
        <v>576</v>
      </c>
      <c r="I804" s="83"/>
      <c r="J804" s="83"/>
      <c r="K804" s="83">
        <f t="shared" si="152"/>
        <v>0</v>
      </c>
      <c r="L804" s="83"/>
      <c r="M804" s="83">
        <v>6000</v>
      </c>
      <c r="N804" s="83"/>
      <c r="O804" s="83">
        <f t="shared" si="153"/>
        <v>6000</v>
      </c>
      <c r="P804" s="84"/>
      <c r="Q804" s="85">
        <f t="shared" si="149"/>
        <v>6000</v>
      </c>
      <c r="R804" s="85">
        <f t="shared" si="150"/>
        <v>0</v>
      </c>
      <c r="S804" s="85">
        <f t="shared" si="151"/>
        <v>6000</v>
      </c>
    </row>
    <row r="805" spans="2:19" x14ac:dyDescent="0.2">
      <c r="B805" s="48">
        <f t="shared" si="148"/>
        <v>350</v>
      </c>
      <c r="C805" s="11"/>
      <c r="D805" s="11"/>
      <c r="E805" s="11"/>
      <c r="F805" s="65"/>
      <c r="G805" s="10">
        <v>717</v>
      </c>
      <c r="H805" s="11" t="s">
        <v>183</v>
      </c>
      <c r="I805" s="66"/>
      <c r="J805" s="66"/>
      <c r="K805" s="66">
        <f t="shared" si="152"/>
        <v>0</v>
      </c>
      <c r="L805" s="66"/>
      <c r="M805" s="66">
        <f>SUM(M806:M806)</f>
        <v>82620</v>
      </c>
      <c r="N805" s="66">
        <f>N807</f>
        <v>110000</v>
      </c>
      <c r="O805" s="66">
        <f t="shared" si="153"/>
        <v>192620</v>
      </c>
      <c r="P805" s="67"/>
      <c r="Q805" s="68">
        <f t="shared" si="149"/>
        <v>82620</v>
      </c>
      <c r="R805" s="68">
        <f t="shared" si="150"/>
        <v>110000</v>
      </c>
      <c r="S805" s="68">
        <f t="shared" si="151"/>
        <v>192620</v>
      </c>
    </row>
    <row r="806" spans="2:19" x14ac:dyDescent="0.2">
      <c r="B806" s="48">
        <f t="shared" si="148"/>
        <v>351</v>
      </c>
      <c r="C806" s="13"/>
      <c r="D806" s="13"/>
      <c r="E806" s="13"/>
      <c r="F806" s="188"/>
      <c r="G806" s="82"/>
      <c r="H806" s="13" t="s">
        <v>442</v>
      </c>
      <c r="I806" s="83"/>
      <c r="J806" s="83"/>
      <c r="K806" s="83">
        <f t="shared" si="152"/>
        <v>0</v>
      </c>
      <c r="L806" s="83"/>
      <c r="M806" s="83">
        <f>98620-16000</f>
        <v>82620</v>
      </c>
      <c r="N806" s="83"/>
      <c r="O806" s="83">
        <f t="shared" si="153"/>
        <v>82620</v>
      </c>
      <c r="P806" s="84"/>
      <c r="Q806" s="85">
        <f t="shared" si="149"/>
        <v>82620</v>
      </c>
      <c r="R806" s="85">
        <f t="shared" si="150"/>
        <v>0</v>
      </c>
      <c r="S806" s="85">
        <f t="shared" si="151"/>
        <v>82620</v>
      </c>
    </row>
    <row r="807" spans="2:19" x14ac:dyDescent="0.2">
      <c r="B807" s="48">
        <f t="shared" si="148"/>
        <v>352</v>
      </c>
      <c r="C807" s="13"/>
      <c r="D807" s="13"/>
      <c r="E807" s="13"/>
      <c r="F807" s="188"/>
      <c r="G807" s="82"/>
      <c r="H807" s="13" t="s">
        <v>624</v>
      </c>
      <c r="I807" s="83"/>
      <c r="J807" s="83"/>
      <c r="K807" s="83"/>
      <c r="L807" s="83"/>
      <c r="M807" s="83">
        <v>0</v>
      </c>
      <c r="N807" s="83">
        <v>110000</v>
      </c>
      <c r="O807" s="83">
        <f>N807</f>
        <v>110000</v>
      </c>
      <c r="P807" s="84"/>
      <c r="Q807" s="85">
        <f t="shared" ref="Q807" si="154">I807+M807</f>
        <v>0</v>
      </c>
      <c r="R807" s="85">
        <f t="shared" ref="R807" si="155">J807+N807</f>
        <v>110000</v>
      </c>
      <c r="S807" s="85">
        <f t="shared" ref="S807" si="156">K807+O807</f>
        <v>110000</v>
      </c>
    </row>
    <row r="808" spans="2:19" ht="15" x14ac:dyDescent="0.25">
      <c r="B808" s="48">
        <f t="shared" si="148"/>
        <v>353</v>
      </c>
      <c r="C808" s="166"/>
      <c r="D808" s="166"/>
      <c r="E808" s="166">
        <v>12</v>
      </c>
      <c r="F808" s="167"/>
      <c r="G808" s="167"/>
      <c r="H808" s="166" t="s">
        <v>5</v>
      </c>
      <c r="I808" s="168">
        <f>I809+I810+I811+I818+I819+I820+I821+I828</f>
        <v>2370512</v>
      </c>
      <c r="J808" s="168">
        <f>J809+J810+J811+J818+J819+J820+J821+J828+J829</f>
        <v>24471</v>
      </c>
      <c r="K808" s="168">
        <f t="shared" si="152"/>
        <v>2394983</v>
      </c>
      <c r="L808" s="58"/>
      <c r="M808" s="168">
        <f>M830</f>
        <v>36000</v>
      </c>
      <c r="N808" s="168">
        <f>N830</f>
        <v>6720</v>
      </c>
      <c r="O808" s="168">
        <f t="shared" si="153"/>
        <v>42720</v>
      </c>
      <c r="P808" s="59"/>
      <c r="Q808" s="169">
        <f t="shared" ref="Q808:Q871" si="157">I808+M808</f>
        <v>2406512</v>
      </c>
      <c r="R808" s="169">
        <f t="shared" ref="R808:R871" si="158">J808+N808</f>
        <v>31191</v>
      </c>
      <c r="S808" s="169">
        <f t="shared" ref="S808:S871" si="159">K808+O808</f>
        <v>2437703</v>
      </c>
    </row>
    <row r="809" spans="2:19" x14ac:dyDescent="0.2">
      <c r="B809" s="48">
        <f t="shared" si="148"/>
        <v>354</v>
      </c>
      <c r="C809" s="9"/>
      <c r="D809" s="9"/>
      <c r="E809" s="9"/>
      <c r="F809" s="61" t="s">
        <v>120</v>
      </c>
      <c r="G809" s="8">
        <v>610</v>
      </c>
      <c r="H809" s="9" t="s">
        <v>132</v>
      </c>
      <c r="I809" s="62">
        <f>4320+30000+38000+14000+18000+7800+7200+533000+30100</f>
        <v>682420</v>
      </c>
      <c r="J809" s="62">
        <v>-7000</v>
      </c>
      <c r="K809" s="62">
        <f t="shared" si="152"/>
        <v>675420</v>
      </c>
      <c r="L809" s="62"/>
      <c r="M809" s="62"/>
      <c r="N809" s="62"/>
      <c r="O809" s="62">
        <f t="shared" si="153"/>
        <v>0</v>
      </c>
      <c r="P809" s="63"/>
      <c r="Q809" s="64">
        <f t="shared" si="157"/>
        <v>682420</v>
      </c>
      <c r="R809" s="64">
        <f t="shared" si="158"/>
        <v>-7000</v>
      </c>
      <c r="S809" s="64">
        <f t="shared" si="159"/>
        <v>675420</v>
      </c>
    </row>
    <row r="810" spans="2:19" x14ac:dyDescent="0.2">
      <c r="B810" s="48">
        <f t="shared" si="148"/>
        <v>355</v>
      </c>
      <c r="C810" s="9"/>
      <c r="D810" s="9"/>
      <c r="E810" s="9"/>
      <c r="F810" s="61" t="s">
        <v>120</v>
      </c>
      <c r="G810" s="8">
        <v>620</v>
      </c>
      <c r="H810" s="9" t="s">
        <v>125</v>
      </c>
      <c r="I810" s="62">
        <f>30000+7000+19000+7000+5000+88000+9000+51310+2000+10020</f>
        <v>228330</v>
      </c>
      <c r="J810" s="62">
        <v>-1298</v>
      </c>
      <c r="K810" s="62">
        <f t="shared" si="152"/>
        <v>227032</v>
      </c>
      <c r="L810" s="62"/>
      <c r="M810" s="62"/>
      <c r="N810" s="62"/>
      <c r="O810" s="62">
        <f t="shared" si="153"/>
        <v>0</v>
      </c>
      <c r="P810" s="63"/>
      <c r="Q810" s="64">
        <f t="shared" si="157"/>
        <v>228330</v>
      </c>
      <c r="R810" s="64">
        <f t="shared" si="158"/>
        <v>-1298</v>
      </c>
      <c r="S810" s="64">
        <f t="shared" si="159"/>
        <v>227032</v>
      </c>
    </row>
    <row r="811" spans="2:19" x14ac:dyDescent="0.2">
      <c r="B811" s="48">
        <f t="shared" si="148"/>
        <v>356</v>
      </c>
      <c r="C811" s="9"/>
      <c r="D811" s="9"/>
      <c r="E811" s="9"/>
      <c r="F811" s="61" t="s">
        <v>120</v>
      </c>
      <c r="G811" s="8">
        <v>630</v>
      </c>
      <c r="H811" s="9" t="s">
        <v>122</v>
      </c>
      <c r="I811" s="62">
        <f>I817+I816+I815+I814+I813+I812</f>
        <v>94970</v>
      </c>
      <c r="J811" s="62">
        <f>J817+J816+J815+J814+J813+J812</f>
        <v>-28000</v>
      </c>
      <c r="K811" s="62">
        <f t="shared" si="152"/>
        <v>66970</v>
      </c>
      <c r="L811" s="62"/>
      <c r="M811" s="62"/>
      <c r="N811" s="62"/>
      <c r="O811" s="62">
        <f t="shared" si="153"/>
        <v>0</v>
      </c>
      <c r="P811" s="63"/>
      <c r="Q811" s="64">
        <f t="shared" si="157"/>
        <v>94970</v>
      </c>
      <c r="R811" s="64">
        <f t="shared" si="158"/>
        <v>-28000</v>
      </c>
      <c r="S811" s="64">
        <f t="shared" si="159"/>
        <v>66970</v>
      </c>
    </row>
    <row r="812" spans="2:19" x14ac:dyDescent="0.2">
      <c r="B812" s="48">
        <f t="shared" si="148"/>
        <v>357</v>
      </c>
      <c r="C812" s="11"/>
      <c r="D812" s="11"/>
      <c r="E812" s="11"/>
      <c r="F812" s="65"/>
      <c r="G812" s="10">
        <v>631</v>
      </c>
      <c r="H812" s="11" t="s">
        <v>128</v>
      </c>
      <c r="I812" s="66">
        <v>1400</v>
      </c>
      <c r="J812" s="66"/>
      <c r="K812" s="66">
        <f t="shared" si="152"/>
        <v>1400</v>
      </c>
      <c r="L812" s="66"/>
      <c r="M812" s="66"/>
      <c r="N812" s="66"/>
      <c r="O812" s="66">
        <f t="shared" si="153"/>
        <v>0</v>
      </c>
      <c r="P812" s="67"/>
      <c r="Q812" s="68">
        <f t="shared" si="157"/>
        <v>1400</v>
      </c>
      <c r="R812" s="68">
        <f t="shared" si="158"/>
        <v>0</v>
      </c>
      <c r="S812" s="68">
        <f t="shared" si="159"/>
        <v>1400</v>
      </c>
    </row>
    <row r="813" spans="2:19" x14ac:dyDescent="0.2">
      <c r="B813" s="48">
        <f t="shared" si="148"/>
        <v>358</v>
      </c>
      <c r="C813" s="11"/>
      <c r="D813" s="11"/>
      <c r="E813" s="11"/>
      <c r="F813" s="65"/>
      <c r="G813" s="10">
        <v>632</v>
      </c>
      <c r="H813" s="11" t="s">
        <v>135</v>
      </c>
      <c r="I813" s="66">
        <v>39770</v>
      </c>
      <c r="J813" s="66">
        <v>-12000</v>
      </c>
      <c r="K813" s="66">
        <f t="shared" si="152"/>
        <v>27770</v>
      </c>
      <c r="L813" s="66"/>
      <c r="M813" s="66"/>
      <c r="N813" s="66"/>
      <c r="O813" s="66">
        <f t="shared" si="153"/>
        <v>0</v>
      </c>
      <c r="P813" s="67"/>
      <c r="Q813" s="68">
        <f t="shared" si="157"/>
        <v>39770</v>
      </c>
      <c r="R813" s="68">
        <f t="shared" si="158"/>
        <v>-12000</v>
      </c>
      <c r="S813" s="68">
        <f t="shared" si="159"/>
        <v>27770</v>
      </c>
    </row>
    <row r="814" spans="2:19" x14ac:dyDescent="0.2">
      <c r="B814" s="48">
        <f t="shared" si="148"/>
        <v>359</v>
      </c>
      <c r="C814" s="11"/>
      <c r="D814" s="11"/>
      <c r="E814" s="11"/>
      <c r="F814" s="65"/>
      <c r="G814" s="10">
        <v>633</v>
      </c>
      <c r="H814" s="11" t="s">
        <v>126</v>
      </c>
      <c r="I814" s="66">
        <f>21850+700+300</f>
        <v>22850</v>
      </c>
      <c r="J814" s="66">
        <v>-8000</v>
      </c>
      <c r="K814" s="66">
        <f t="shared" si="152"/>
        <v>14850</v>
      </c>
      <c r="L814" s="66"/>
      <c r="M814" s="66"/>
      <c r="N814" s="66"/>
      <c r="O814" s="66">
        <f t="shared" si="153"/>
        <v>0</v>
      </c>
      <c r="P814" s="67"/>
      <c r="Q814" s="68">
        <f t="shared" si="157"/>
        <v>22850</v>
      </c>
      <c r="R814" s="68">
        <f t="shared" si="158"/>
        <v>-8000</v>
      </c>
      <c r="S814" s="68">
        <f t="shared" si="159"/>
        <v>14850</v>
      </c>
    </row>
    <row r="815" spans="2:19" x14ac:dyDescent="0.2">
      <c r="B815" s="48">
        <f t="shared" si="148"/>
        <v>360</v>
      </c>
      <c r="C815" s="11"/>
      <c r="D815" s="11"/>
      <c r="E815" s="11"/>
      <c r="F815" s="65"/>
      <c r="G815" s="10">
        <v>635</v>
      </c>
      <c r="H815" s="11" t="s">
        <v>134</v>
      </c>
      <c r="I815" s="66">
        <f>700+2600</f>
        <v>3300</v>
      </c>
      <c r="J815" s="66"/>
      <c r="K815" s="66">
        <f t="shared" si="152"/>
        <v>3300</v>
      </c>
      <c r="L815" s="66"/>
      <c r="M815" s="66"/>
      <c r="N815" s="66"/>
      <c r="O815" s="66">
        <f t="shared" si="153"/>
        <v>0</v>
      </c>
      <c r="P815" s="67"/>
      <c r="Q815" s="68">
        <f t="shared" si="157"/>
        <v>3300</v>
      </c>
      <c r="R815" s="68">
        <f t="shared" si="158"/>
        <v>0</v>
      </c>
      <c r="S815" s="68">
        <f t="shared" si="159"/>
        <v>3300</v>
      </c>
    </row>
    <row r="816" spans="2:19" x14ac:dyDescent="0.2">
      <c r="B816" s="48">
        <f t="shared" si="148"/>
        <v>361</v>
      </c>
      <c r="C816" s="11"/>
      <c r="D816" s="11"/>
      <c r="E816" s="11"/>
      <c r="F816" s="65"/>
      <c r="G816" s="10">
        <v>636</v>
      </c>
      <c r="H816" s="11" t="s">
        <v>127</v>
      </c>
      <c r="I816" s="66">
        <v>3500</v>
      </c>
      <c r="J816" s="66"/>
      <c r="K816" s="66">
        <f t="shared" si="152"/>
        <v>3500</v>
      </c>
      <c r="L816" s="66"/>
      <c r="M816" s="66"/>
      <c r="N816" s="66"/>
      <c r="O816" s="66">
        <f t="shared" si="153"/>
        <v>0</v>
      </c>
      <c r="P816" s="67"/>
      <c r="Q816" s="68">
        <f t="shared" si="157"/>
        <v>3500</v>
      </c>
      <c r="R816" s="68">
        <f t="shared" si="158"/>
        <v>0</v>
      </c>
      <c r="S816" s="68">
        <f t="shared" si="159"/>
        <v>3500</v>
      </c>
    </row>
    <row r="817" spans="2:19" x14ac:dyDescent="0.2">
      <c r="B817" s="48">
        <f t="shared" si="148"/>
        <v>362</v>
      </c>
      <c r="C817" s="11"/>
      <c r="D817" s="11"/>
      <c r="E817" s="11"/>
      <c r="F817" s="65"/>
      <c r="G817" s="10">
        <v>637</v>
      </c>
      <c r="H817" s="11" t="s">
        <v>123</v>
      </c>
      <c r="I817" s="66">
        <f>500+800+2000+2700+6200+1400+4200+6000+350</f>
        <v>24150</v>
      </c>
      <c r="J817" s="66">
        <v>-8000</v>
      </c>
      <c r="K817" s="66">
        <f t="shared" si="152"/>
        <v>16150</v>
      </c>
      <c r="L817" s="66"/>
      <c r="M817" s="66"/>
      <c r="N817" s="66"/>
      <c r="O817" s="66">
        <f t="shared" si="153"/>
        <v>0</v>
      </c>
      <c r="P817" s="67"/>
      <c r="Q817" s="68">
        <f t="shared" si="157"/>
        <v>24150</v>
      </c>
      <c r="R817" s="68">
        <f t="shared" si="158"/>
        <v>-8000</v>
      </c>
      <c r="S817" s="68">
        <f t="shared" si="159"/>
        <v>16150</v>
      </c>
    </row>
    <row r="818" spans="2:19" x14ac:dyDescent="0.2">
      <c r="B818" s="48">
        <f t="shared" si="148"/>
        <v>363</v>
      </c>
      <c r="C818" s="9"/>
      <c r="D818" s="9"/>
      <c r="E818" s="9"/>
      <c r="F818" s="61" t="s">
        <v>120</v>
      </c>
      <c r="G818" s="8">
        <v>640</v>
      </c>
      <c r="H818" s="9" t="s">
        <v>130</v>
      </c>
      <c r="I818" s="62">
        <f>7000+10000</f>
        <v>17000</v>
      </c>
      <c r="J818" s="62"/>
      <c r="K818" s="62">
        <f t="shared" si="152"/>
        <v>17000</v>
      </c>
      <c r="L818" s="62"/>
      <c r="M818" s="62"/>
      <c r="N818" s="62"/>
      <c r="O818" s="62">
        <f t="shared" si="153"/>
        <v>0</v>
      </c>
      <c r="P818" s="63"/>
      <c r="Q818" s="64">
        <f t="shared" si="157"/>
        <v>17000</v>
      </c>
      <c r="R818" s="64">
        <f t="shared" si="158"/>
        <v>0</v>
      </c>
      <c r="S818" s="64">
        <f t="shared" si="159"/>
        <v>17000</v>
      </c>
    </row>
    <row r="819" spans="2:19" x14ac:dyDescent="0.2">
      <c r="B819" s="48">
        <f t="shared" si="148"/>
        <v>364</v>
      </c>
      <c r="C819" s="9"/>
      <c r="D819" s="9"/>
      <c r="E819" s="9"/>
      <c r="F819" s="61" t="s">
        <v>109</v>
      </c>
      <c r="G819" s="8">
        <v>610</v>
      </c>
      <c r="H819" s="9" t="s">
        <v>132</v>
      </c>
      <c r="I819" s="62">
        <f>75815+640000+28800+9360+18000+38000+14000+6500+4212+26400+100</f>
        <v>861187</v>
      </c>
      <c r="J819" s="62"/>
      <c r="K819" s="62">
        <f t="shared" si="152"/>
        <v>861187</v>
      </c>
      <c r="L819" s="62"/>
      <c r="M819" s="62"/>
      <c r="N819" s="62"/>
      <c r="O819" s="62">
        <f t="shared" si="153"/>
        <v>0</v>
      </c>
      <c r="P819" s="63"/>
      <c r="Q819" s="64">
        <f t="shared" si="157"/>
        <v>861187</v>
      </c>
      <c r="R819" s="64">
        <f t="shared" si="158"/>
        <v>0</v>
      </c>
      <c r="S819" s="64">
        <f t="shared" si="159"/>
        <v>861187</v>
      </c>
    </row>
    <row r="820" spans="2:19" x14ac:dyDescent="0.2">
      <c r="B820" s="48">
        <f t="shared" si="148"/>
        <v>365</v>
      </c>
      <c r="C820" s="9"/>
      <c r="D820" s="9"/>
      <c r="E820" s="9"/>
      <c r="F820" s="61" t="s">
        <v>109</v>
      </c>
      <c r="G820" s="8">
        <v>620</v>
      </c>
      <c r="H820" s="9" t="s">
        <v>125</v>
      </c>
      <c r="I820" s="62">
        <f>26700+85500+2000+9000+89000+5000+19000+7000+31000+7000+9300+35</f>
        <v>290535</v>
      </c>
      <c r="J820" s="62"/>
      <c r="K820" s="62">
        <f t="shared" si="152"/>
        <v>290535</v>
      </c>
      <c r="L820" s="62"/>
      <c r="M820" s="62"/>
      <c r="N820" s="62"/>
      <c r="O820" s="62">
        <f t="shared" si="153"/>
        <v>0</v>
      </c>
      <c r="P820" s="63"/>
      <c r="Q820" s="64">
        <f t="shared" si="157"/>
        <v>290535</v>
      </c>
      <c r="R820" s="64">
        <f t="shared" si="158"/>
        <v>0</v>
      </c>
      <c r="S820" s="64">
        <f t="shared" si="159"/>
        <v>290535</v>
      </c>
    </row>
    <row r="821" spans="2:19" x14ac:dyDescent="0.2">
      <c r="B821" s="48">
        <f t="shared" si="148"/>
        <v>366</v>
      </c>
      <c r="C821" s="9"/>
      <c r="D821" s="9"/>
      <c r="E821" s="9"/>
      <c r="F821" s="61" t="s">
        <v>109</v>
      </c>
      <c r="G821" s="8">
        <v>630</v>
      </c>
      <c r="H821" s="9" t="s">
        <v>122</v>
      </c>
      <c r="I821" s="62">
        <f>I827+I826+I825+I824+I823+I822</f>
        <v>174870</v>
      </c>
      <c r="J821" s="62">
        <f>J827+J826+J825+J824+J823+J822</f>
        <v>900</v>
      </c>
      <c r="K821" s="62">
        <f t="shared" si="152"/>
        <v>175770</v>
      </c>
      <c r="L821" s="62"/>
      <c r="M821" s="62"/>
      <c r="N821" s="62"/>
      <c r="O821" s="62">
        <f t="shared" si="153"/>
        <v>0</v>
      </c>
      <c r="P821" s="63"/>
      <c r="Q821" s="64">
        <f t="shared" si="157"/>
        <v>174870</v>
      </c>
      <c r="R821" s="64">
        <f t="shared" si="158"/>
        <v>900</v>
      </c>
      <c r="S821" s="64">
        <f t="shared" si="159"/>
        <v>175770</v>
      </c>
    </row>
    <row r="822" spans="2:19" x14ac:dyDescent="0.2">
      <c r="B822" s="48">
        <f t="shared" si="148"/>
        <v>367</v>
      </c>
      <c r="C822" s="11"/>
      <c r="D822" s="11"/>
      <c r="E822" s="11"/>
      <c r="F822" s="65"/>
      <c r="G822" s="10">
        <v>631</v>
      </c>
      <c r="H822" s="11" t="s">
        <v>128</v>
      </c>
      <c r="I822" s="66">
        <v>1400</v>
      </c>
      <c r="J822" s="66"/>
      <c r="K822" s="66">
        <f t="shared" si="152"/>
        <v>1400</v>
      </c>
      <c r="L822" s="66"/>
      <c r="M822" s="66"/>
      <c r="N822" s="66"/>
      <c r="O822" s="66">
        <f t="shared" si="153"/>
        <v>0</v>
      </c>
      <c r="P822" s="67"/>
      <c r="Q822" s="68">
        <f t="shared" si="157"/>
        <v>1400</v>
      </c>
      <c r="R822" s="68">
        <f t="shared" si="158"/>
        <v>0</v>
      </c>
      <c r="S822" s="68">
        <f t="shared" si="159"/>
        <v>1400</v>
      </c>
    </row>
    <row r="823" spans="2:19" x14ac:dyDescent="0.2">
      <c r="B823" s="48">
        <f t="shared" si="148"/>
        <v>368</v>
      </c>
      <c r="C823" s="11"/>
      <c r="D823" s="11"/>
      <c r="E823" s="11"/>
      <c r="F823" s="65"/>
      <c r="G823" s="10">
        <v>632</v>
      </c>
      <c r="H823" s="11" t="s">
        <v>135</v>
      </c>
      <c r="I823" s="66">
        <v>39670</v>
      </c>
      <c r="J823" s="66"/>
      <c r="K823" s="66">
        <f t="shared" si="152"/>
        <v>39670</v>
      </c>
      <c r="L823" s="66"/>
      <c r="M823" s="66"/>
      <c r="N823" s="66"/>
      <c r="O823" s="66">
        <f t="shared" si="153"/>
        <v>0</v>
      </c>
      <c r="P823" s="67"/>
      <c r="Q823" s="68">
        <f t="shared" si="157"/>
        <v>39670</v>
      </c>
      <c r="R823" s="68">
        <f t="shared" si="158"/>
        <v>0</v>
      </c>
      <c r="S823" s="68">
        <f t="shared" si="159"/>
        <v>39670</v>
      </c>
    </row>
    <row r="824" spans="2:19" x14ac:dyDescent="0.2">
      <c r="B824" s="48">
        <f t="shared" ref="B824:B832" si="160">B823+1</f>
        <v>369</v>
      </c>
      <c r="C824" s="11"/>
      <c r="D824" s="11"/>
      <c r="E824" s="11"/>
      <c r="F824" s="65"/>
      <c r="G824" s="10">
        <v>633</v>
      </c>
      <c r="H824" s="11" t="s">
        <v>126</v>
      </c>
      <c r="I824" s="66">
        <v>22250</v>
      </c>
      <c r="J824" s="66">
        <v>900</v>
      </c>
      <c r="K824" s="66">
        <f t="shared" si="152"/>
        <v>23150</v>
      </c>
      <c r="L824" s="66"/>
      <c r="M824" s="66"/>
      <c r="N824" s="66"/>
      <c r="O824" s="66">
        <f t="shared" si="153"/>
        <v>0</v>
      </c>
      <c r="P824" s="67"/>
      <c r="Q824" s="68">
        <f t="shared" si="157"/>
        <v>22250</v>
      </c>
      <c r="R824" s="68">
        <f t="shared" si="158"/>
        <v>900</v>
      </c>
      <c r="S824" s="68">
        <f t="shared" si="159"/>
        <v>23150</v>
      </c>
    </row>
    <row r="825" spans="2:19" x14ac:dyDescent="0.2">
      <c r="B825" s="48">
        <f t="shared" si="160"/>
        <v>370</v>
      </c>
      <c r="C825" s="11"/>
      <c r="D825" s="11"/>
      <c r="E825" s="11"/>
      <c r="F825" s="65"/>
      <c r="G825" s="10">
        <v>635</v>
      </c>
      <c r="H825" s="11" t="s">
        <v>134</v>
      </c>
      <c r="I825" s="66">
        <v>18700</v>
      </c>
      <c r="J825" s="66"/>
      <c r="K825" s="66">
        <f t="shared" si="152"/>
        <v>18700</v>
      </c>
      <c r="L825" s="66"/>
      <c r="M825" s="66"/>
      <c r="N825" s="66"/>
      <c r="O825" s="66">
        <f t="shared" si="153"/>
        <v>0</v>
      </c>
      <c r="P825" s="67"/>
      <c r="Q825" s="68">
        <f t="shared" si="157"/>
        <v>18700</v>
      </c>
      <c r="R825" s="68">
        <f t="shared" si="158"/>
        <v>0</v>
      </c>
      <c r="S825" s="68">
        <f t="shared" si="159"/>
        <v>18700</v>
      </c>
    </row>
    <row r="826" spans="2:19" x14ac:dyDescent="0.2">
      <c r="B826" s="48">
        <f t="shared" si="160"/>
        <v>371</v>
      </c>
      <c r="C826" s="11"/>
      <c r="D826" s="11"/>
      <c r="E826" s="11"/>
      <c r="F826" s="65"/>
      <c r="G826" s="10">
        <v>636</v>
      </c>
      <c r="H826" s="11" t="s">
        <v>127</v>
      </c>
      <c r="I826" s="66">
        <v>3000</v>
      </c>
      <c r="J826" s="66"/>
      <c r="K826" s="66">
        <f t="shared" si="152"/>
        <v>3000</v>
      </c>
      <c r="L826" s="66"/>
      <c r="M826" s="66"/>
      <c r="N826" s="66"/>
      <c r="O826" s="66">
        <f t="shared" si="153"/>
        <v>0</v>
      </c>
      <c r="P826" s="67"/>
      <c r="Q826" s="68">
        <f t="shared" si="157"/>
        <v>3000</v>
      </c>
      <c r="R826" s="68">
        <f t="shared" si="158"/>
        <v>0</v>
      </c>
      <c r="S826" s="68">
        <f t="shared" si="159"/>
        <v>3000</v>
      </c>
    </row>
    <row r="827" spans="2:19" x14ac:dyDescent="0.2">
      <c r="B827" s="48">
        <f t="shared" si="160"/>
        <v>372</v>
      </c>
      <c r="C827" s="11"/>
      <c r="D827" s="11"/>
      <c r="E827" s="11"/>
      <c r="F827" s="65"/>
      <c r="G827" s="10">
        <v>637</v>
      </c>
      <c r="H827" s="11" t="s">
        <v>123</v>
      </c>
      <c r="I827" s="66">
        <f>1400+4000+700+26000+6000+400+200+17600+7000+800+1500+2000+19250+2550+450</f>
        <v>89850</v>
      </c>
      <c r="J827" s="66"/>
      <c r="K827" s="66">
        <f t="shared" si="152"/>
        <v>89850</v>
      </c>
      <c r="L827" s="66"/>
      <c r="M827" s="66"/>
      <c r="N827" s="66"/>
      <c r="O827" s="66">
        <f t="shared" si="153"/>
        <v>0</v>
      </c>
      <c r="P827" s="67"/>
      <c r="Q827" s="68">
        <f t="shared" si="157"/>
        <v>89850</v>
      </c>
      <c r="R827" s="68">
        <f t="shared" si="158"/>
        <v>0</v>
      </c>
      <c r="S827" s="68">
        <f t="shared" si="159"/>
        <v>89850</v>
      </c>
    </row>
    <row r="828" spans="2:19" x14ac:dyDescent="0.2">
      <c r="B828" s="48">
        <f t="shared" si="160"/>
        <v>373</v>
      </c>
      <c r="C828" s="9"/>
      <c r="D828" s="9"/>
      <c r="E828" s="9"/>
      <c r="F828" s="61" t="s">
        <v>109</v>
      </c>
      <c r="G828" s="8">
        <v>640</v>
      </c>
      <c r="H828" s="9" t="s">
        <v>130</v>
      </c>
      <c r="I828" s="62">
        <f>3200+10500+7500</f>
        <v>21200</v>
      </c>
      <c r="J828" s="62"/>
      <c r="K828" s="62">
        <f t="shared" si="152"/>
        <v>21200</v>
      </c>
      <c r="L828" s="62"/>
      <c r="M828" s="62"/>
      <c r="N828" s="62"/>
      <c r="O828" s="62">
        <f t="shared" si="153"/>
        <v>0</v>
      </c>
      <c r="P828" s="63"/>
      <c r="Q828" s="64">
        <f t="shared" si="157"/>
        <v>21200</v>
      </c>
      <c r="R828" s="64">
        <f t="shared" si="158"/>
        <v>0</v>
      </c>
      <c r="S828" s="64">
        <f t="shared" si="159"/>
        <v>21200</v>
      </c>
    </row>
    <row r="829" spans="2:19" x14ac:dyDescent="0.2">
      <c r="B829" s="48">
        <f t="shared" si="160"/>
        <v>374</v>
      </c>
      <c r="C829" s="9"/>
      <c r="D829" s="9"/>
      <c r="E829" s="9"/>
      <c r="F829" s="61"/>
      <c r="G829" s="8">
        <v>600</v>
      </c>
      <c r="H829" s="9" t="s">
        <v>607</v>
      </c>
      <c r="I829" s="62">
        <v>0</v>
      </c>
      <c r="J829" s="62">
        <v>59869</v>
      </c>
      <c r="K829" s="62">
        <f>I829+J829</f>
        <v>59869</v>
      </c>
      <c r="L829" s="62"/>
      <c r="M829" s="62"/>
      <c r="N829" s="62"/>
      <c r="O829" s="62">
        <f>M829+N829</f>
        <v>0</v>
      </c>
      <c r="P829" s="63"/>
      <c r="Q829" s="64">
        <f t="shared" si="157"/>
        <v>0</v>
      </c>
      <c r="R829" s="64">
        <f t="shared" si="158"/>
        <v>59869</v>
      </c>
      <c r="S829" s="64">
        <f t="shared" si="159"/>
        <v>59869</v>
      </c>
    </row>
    <row r="830" spans="2:19" x14ac:dyDescent="0.2">
      <c r="B830" s="48">
        <f t="shared" si="160"/>
        <v>375</v>
      </c>
      <c r="C830" s="9"/>
      <c r="D830" s="9"/>
      <c r="E830" s="9"/>
      <c r="F830" s="61" t="s">
        <v>109</v>
      </c>
      <c r="G830" s="8">
        <v>710</v>
      </c>
      <c r="H830" s="9" t="s">
        <v>176</v>
      </c>
      <c r="I830" s="62"/>
      <c r="J830" s="62"/>
      <c r="K830" s="62">
        <f t="shared" si="152"/>
        <v>0</v>
      </c>
      <c r="L830" s="62"/>
      <c r="M830" s="62">
        <f>M831</f>
        <v>36000</v>
      </c>
      <c r="N830" s="62">
        <f>N831</f>
        <v>6720</v>
      </c>
      <c r="O830" s="62">
        <f t="shared" si="153"/>
        <v>42720</v>
      </c>
      <c r="P830" s="63"/>
      <c r="Q830" s="64">
        <f t="shared" si="157"/>
        <v>36000</v>
      </c>
      <c r="R830" s="64">
        <f t="shared" si="158"/>
        <v>6720</v>
      </c>
      <c r="S830" s="64">
        <f t="shared" si="159"/>
        <v>42720</v>
      </c>
    </row>
    <row r="831" spans="2:19" x14ac:dyDescent="0.2">
      <c r="B831" s="48">
        <f t="shared" si="160"/>
        <v>376</v>
      </c>
      <c r="C831" s="11"/>
      <c r="D831" s="11"/>
      <c r="E831" s="11"/>
      <c r="F831" s="65"/>
      <c r="G831" s="10">
        <v>717</v>
      </c>
      <c r="H831" s="11" t="s">
        <v>183</v>
      </c>
      <c r="I831" s="66"/>
      <c r="J831" s="66"/>
      <c r="K831" s="66">
        <f t="shared" si="152"/>
        <v>0</v>
      </c>
      <c r="L831" s="66"/>
      <c r="M831" s="66">
        <f>SUM(M832:M832)</f>
        <v>36000</v>
      </c>
      <c r="N831" s="66">
        <f>SUM(N832:N833)</f>
        <v>6720</v>
      </c>
      <c r="O831" s="66">
        <f t="shared" si="153"/>
        <v>42720</v>
      </c>
      <c r="P831" s="67"/>
      <c r="Q831" s="68">
        <f t="shared" si="157"/>
        <v>36000</v>
      </c>
      <c r="R831" s="68">
        <f t="shared" si="158"/>
        <v>6720</v>
      </c>
      <c r="S831" s="68">
        <f t="shared" si="159"/>
        <v>42720</v>
      </c>
    </row>
    <row r="832" spans="2:19" x14ac:dyDescent="0.2">
      <c r="B832" s="48">
        <f t="shared" si="160"/>
        <v>377</v>
      </c>
      <c r="C832" s="13"/>
      <c r="D832" s="13"/>
      <c r="E832" s="13"/>
      <c r="F832" s="188"/>
      <c r="G832" s="82"/>
      <c r="H832" s="13" t="s">
        <v>560</v>
      </c>
      <c r="I832" s="83"/>
      <c r="J832" s="83"/>
      <c r="K832" s="83">
        <f t="shared" si="152"/>
        <v>0</v>
      </c>
      <c r="L832" s="83"/>
      <c r="M832" s="83">
        <v>36000</v>
      </c>
      <c r="N832" s="83"/>
      <c r="O832" s="83">
        <f t="shared" si="153"/>
        <v>36000</v>
      </c>
      <c r="P832" s="84"/>
      <c r="Q832" s="85">
        <f t="shared" si="157"/>
        <v>36000</v>
      </c>
      <c r="R832" s="85">
        <f t="shared" si="158"/>
        <v>0</v>
      </c>
      <c r="S832" s="85">
        <f t="shared" si="159"/>
        <v>36000</v>
      </c>
    </row>
    <row r="833" spans="2:19" x14ac:dyDescent="0.2">
      <c r="B833" s="48">
        <f t="shared" ref="B833:B889" si="161">B832+1</f>
        <v>378</v>
      </c>
      <c r="C833" s="13"/>
      <c r="D833" s="13"/>
      <c r="E833" s="13"/>
      <c r="F833" s="188"/>
      <c r="G833" s="82"/>
      <c r="H833" s="13" t="s">
        <v>606</v>
      </c>
      <c r="I833" s="83"/>
      <c r="J833" s="83"/>
      <c r="K833" s="83"/>
      <c r="L833" s="83"/>
      <c r="M833" s="83">
        <v>0</v>
      </c>
      <c r="N833" s="83">
        <v>6720</v>
      </c>
      <c r="O833" s="83">
        <f>M833+N833</f>
        <v>6720</v>
      </c>
      <c r="P833" s="84"/>
      <c r="Q833" s="85">
        <f t="shared" si="157"/>
        <v>0</v>
      </c>
      <c r="R833" s="85">
        <f t="shared" si="158"/>
        <v>6720</v>
      </c>
      <c r="S833" s="85">
        <f t="shared" si="159"/>
        <v>6720</v>
      </c>
    </row>
    <row r="834" spans="2:19" ht="15" x14ac:dyDescent="0.25">
      <c r="B834" s="48">
        <f t="shared" si="161"/>
        <v>379</v>
      </c>
      <c r="C834" s="166"/>
      <c r="D834" s="166"/>
      <c r="E834" s="166">
        <v>13</v>
      </c>
      <c r="F834" s="167"/>
      <c r="G834" s="167"/>
      <c r="H834" s="166" t="s">
        <v>12</v>
      </c>
      <c r="I834" s="168">
        <f>I835+I836+I837+I842+I843+I844+I845+I850</f>
        <v>984834</v>
      </c>
      <c r="J834" s="168">
        <f>J835+J836+J837+J842+J843+J844+J845+J850+J851</f>
        <v>-67266</v>
      </c>
      <c r="K834" s="168">
        <f t="shared" si="152"/>
        <v>917568</v>
      </c>
      <c r="L834" s="58"/>
      <c r="M834" s="168">
        <f>M852</f>
        <v>144000</v>
      </c>
      <c r="N834" s="168">
        <f>N852</f>
        <v>13000</v>
      </c>
      <c r="O834" s="168">
        <f t="shared" si="153"/>
        <v>157000</v>
      </c>
      <c r="P834" s="59"/>
      <c r="Q834" s="169">
        <f t="shared" si="157"/>
        <v>1128834</v>
      </c>
      <c r="R834" s="169">
        <f t="shared" si="158"/>
        <v>-54266</v>
      </c>
      <c r="S834" s="169">
        <f t="shared" si="159"/>
        <v>1074568</v>
      </c>
    </row>
    <row r="835" spans="2:19" x14ac:dyDescent="0.2">
      <c r="B835" s="48">
        <f t="shared" si="161"/>
        <v>380</v>
      </c>
      <c r="C835" s="9"/>
      <c r="D835" s="9"/>
      <c r="E835" s="9"/>
      <c r="F835" s="61" t="s">
        <v>120</v>
      </c>
      <c r="G835" s="8">
        <v>610</v>
      </c>
      <c r="H835" s="9" t="s">
        <v>132</v>
      </c>
      <c r="I835" s="62">
        <v>210436</v>
      </c>
      <c r="J835" s="62"/>
      <c r="K835" s="62">
        <f t="shared" si="152"/>
        <v>210436</v>
      </c>
      <c r="L835" s="62"/>
      <c r="M835" s="62"/>
      <c r="N835" s="62"/>
      <c r="O835" s="62">
        <f t="shared" si="153"/>
        <v>0</v>
      </c>
      <c r="P835" s="63"/>
      <c r="Q835" s="64">
        <f t="shared" si="157"/>
        <v>210436</v>
      </c>
      <c r="R835" s="64">
        <f t="shared" si="158"/>
        <v>0</v>
      </c>
      <c r="S835" s="64">
        <f t="shared" si="159"/>
        <v>210436</v>
      </c>
    </row>
    <row r="836" spans="2:19" x14ac:dyDescent="0.2">
      <c r="B836" s="48">
        <f t="shared" si="161"/>
        <v>381</v>
      </c>
      <c r="C836" s="9"/>
      <c r="D836" s="9"/>
      <c r="E836" s="9"/>
      <c r="F836" s="61" t="s">
        <v>120</v>
      </c>
      <c r="G836" s="8">
        <v>620</v>
      </c>
      <c r="H836" s="9" t="s">
        <v>125</v>
      </c>
      <c r="I836" s="62">
        <v>74987</v>
      </c>
      <c r="J836" s="62"/>
      <c r="K836" s="62">
        <f t="shared" si="152"/>
        <v>74987</v>
      </c>
      <c r="L836" s="62"/>
      <c r="M836" s="62"/>
      <c r="N836" s="62"/>
      <c r="O836" s="62">
        <f t="shared" si="153"/>
        <v>0</v>
      </c>
      <c r="P836" s="63"/>
      <c r="Q836" s="64">
        <f t="shared" si="157"/>
        <v>74987</v>
      </c>
      <c r="R836" s="64">
        <f t="shared" si="158"/>
        <v>0</v>
      </c>
      <c r="S836" s="64">
        <f t="shared" si="159"/>
        <v>74987</v>
      </c>
    </row>
    <row r="837" spans="2:19" s="164" customFormat="1" x14ac:dyDescent="0.2">
      <c r="B837" s="48">
        <f t="shared" si="161"/>
        <v>382</v>
      </c>
      <c r="C837" s="9"/>
      <c r="D837" s="9"/>
      <c r="E837" s="9"/>
      <c r="F837" s="61" t="s">
        <v>120</v>
      </c>
      <c r="G837" s="8">
        <v>630</v>
      </c>
      <c r="H837" s="9" t="s">
        <v>122</v>
      </c>
      <c r="I837" s="62">
        <f>I841+I840+I839+I838</f>
        <v>67510</v>
      </c>
      <c r="J837" s="62">
        <f>J841+J840+J839+J838</f>
        <v>-24730</v>
      </c>
      <c r="K837" s="62">
        <f t="shared" si="152"/>
        <v>42780</v>
      </c>
      <c r="L837" s="62"/>
      <c r="M837" s="62"/>
      <c r="N837" s="62"/>
      <c r="O837" s="62">
        <f t="shared" si="153"/>
        <v>0</v>
      </c>
      <c r="P837" s="63"/>
      <c r="Q837" s="64">
        <f t="shared" si="157"/>
        <v>67510</v>
      </c>
      <c r="R837" s="64">
        <f t="shared" si="158"/>
        <v>-24730</v>
      </c>
      <c r="S837" s="64">
        <f t="shared" si="159"/>
        <v>42780</v>
      </c>
    </row>
    <row r="838" spans="2:19" s="164" customFormat="1" x14ac:dyDescent="0.2">
      <c r="B838" s="48">
        <f t="shared" si="161"/>
        <v>383</v>
      </c>
      <c r="C838" s="11"/>
      <c r="D838" s="11"/>
      <c r="E838" s="11"/>
      <c r="F838" s="65"/>
      <c r="G838" s="10">
        <v>632</v>
      </c>
      <c r="H838" s="11" t="s">
        <v>135</v>
      </c>
      <c r="I838" s="66">
        <f>150+250+250+2000+6300+35500+600+800+4000</f>
        <v>49850</v>
      </c>
      <c r="J838" s="66">
        <v>-24730</v>
      </c>
      <c r="K838" s="66">
        <f t="shared" si="152"/>
        <v>25120</v>
      </c>
      <c r="L838" s="66"/>
      <c r="M838" s="66"/>
      <c r="N838" s="66"/>
      <c r="O838" s="66">
        <f t="shared" si="153"/>
        <v>0</v>
      </c>
      <c r="P838" s="67"/>
      <c r="Q838" s="68">
        <f t="shared" si="157"/>
        <v>49850</v>
      </c>
      <c r="R838" s="68">
        <f t="shared" si="158"/>
        <v>-24730</v>
      </c>
      <c r="S838" s="68">
        <f t="shared" si="159"/>
        <v>25120</v>
      </c>
    </row>
    <row r="839" spans="2:19" s="164" customFormat="1" x14ac:dyDescent="0.2">
      <c r="B839" s="48">
        <f t="shared" si="161"/>
        <v>384</v>
      </c>
      <c r="C839" s="11"/>
      <c r="D839" s="11"/>
      <c r="E839" s="11"/>
      <c r="F839" s="65"/>
      <c r="G839" s="10">
        <v>633</v>
      </c>
      <c r="H839" s="11" t="s">
        <v>126</v>
      </c>
      <c r="I839" s="66">
        <f>300+1000+350+300+150+700+1200+600+150</f>
        <v>4750</v>
      </c>
      <c r="J839" s="66"/>
      <c r="K839" s="66">
        <f t="shared" si="152"/>
        <v>4750</v>
      </c>
      <c r="L839" s="66"/>
      <c r="M839" s="66"/>
      <c r="N839" s="66"/>
      <c r="O839" s="66">
        <f t="shared" si="153"/>
        <v>0</v>
      </c>
      <c r="P839" s="67"/>
      <c r="Q839" s="68">
        <f t="shared" si="157"/>
        <v>4750</v>
      </c>
      <c r="R839" s="68">
        <f t="shared" si="158"/>
        <v>0</v>
      </c>
      <c r="S839" s="68">
        <f t="shared" si="159"/>
        <v>4750</v>
      </c>
    </row>
    <row r="840" spans="2:19" x14ac:dyDescent="0.2">
      <c r="B840" s="48">
        <f t="shared" si="161"/>
        <v>385</v>
      </c>
      <c r="C840" s="11"/>
      <c r="D840" s="11"/>
      <c r="E840" s="11"/>
      <c r="F840" s="65"/>
      <c r="G840" s="10">
        <v>634</v>
      </c>
      <c r="H840" s="11" t="s">
        <v>133</v>
      </c>
      <c r="I840" s="66">
        <v>1400</v>
      </c>
      <c r="J840" s="66"/>
      <c r="K840" s="66">
        <f t="shared" si="152"/>
        <v>1400</v>
      </c>
      <c r="L840" s="66"/>
      <c r="M840" s="66"/>
      <c r="N840" s="66"/>
      <c r="O840" s="66">
        <f t="shared" si="153"/>
        <v>0</v>
      </c>
      <c r="P840" s="67"/>
      <c r="Q840" s="68">
        <f t="shared" si="157"/>
        <v>1400</v>
      </c>
      <c r="R840" s="68">
        <f t="shared" si="158"/>
        <v>0</v>
      </c>
      <c r="S840" s="68">
        <f t="shared" si="159"/>
        <v>1400</v>
      </c>
    </row>
    <row r="841" spans="2:19" x14ac:dyDescent="0.2">
      <c r="B841" s="48">
        <f t="shared" si="161"/>
        <v>386</v>
      </c>
      <c r="C841" s="11"/>
      <c r="D841" s="11"/>
      <c r="E841" s="11"/>
      <c r="F841" s="65"/>
      <c r="G841" s="10">
        <v>637</v>
      </c>
      <c r="H841" s="11" t="s">
        <v>123</v>
      </c>
      <c r="I841" s="66">
        <f>1150+6000+260+2600+600+900</f>
        <v>11510</v>
      </c>
      <c r="J841" s="66"/>
      <c r="K841" s="66">
        <f t="shared" si="152"/>
        <v>11510</v>
      </c>
      <c r="L841" s="66"/>
      <c r="M841" s="66"/>
      <c r="N841" s="66"/>
      <c r="O841" s="66">
        <f t="shared" si="153"/>
        <v>0</v>
      </c>
      <c r="P841" s="67"/>
      <c r="Q841" s="68">
        <f t="shared" si="157"/>
        <v>11510</v>
      </c>
      <c r="R841" s="68">
        <f t="shared" si="158"/>
        <v>0</v>
      </c>
      <c r="S841" s="68">
        <f t="shared" si="159"/>
        <v>11510</v>
      </c>
    </row>
    <row r="842" spans="2:19" x14ac:dyDescent="0.2">
      <c r="B842" s="48">
        <f t="shared" si="161"/>
        <v>387</v>
      </c>
      <c r="C842" s="9"/>
      <c r="D842" s="9"/>
      <c r="E842" s="9"/>
      <c r="F842" s="61" t="s">
        <v>120</v>
      </c>
      <c r="G842" s="8">
        <v>640</v>
      </c>
      <c r="H842" s="9" t="s">
        <v>130</v>
      </c>
      <c r="I842" s="62">
        <f>4081+600+500</f>
        <v>5181</v>
      </c>
      <c r="J842" s="62"/>
      <c r="K842" s="62">
        <f t="shared" si="152"/>
        <v>5181</v>
      </c>
      <c r="L842" s="62"/>
      <c r="M842" s="62"/>
      <c r="N842" s="62"/>
      <c r="O842" s="62">
        <f t="shared" si="153"/>
        <v>0</v>
      </c>
      <c r="P842" s="63"/>
      <c r="Q842" s="64">
        <f t="shared" si="157"/>
        <v>5181</v>
      </c>
      <c r="R842" s="64">
        <f t="shared" si="158"/>
        <v>0</v>
      </c>
      <c r="S842" s="64">
        <f t="shared" si="159"/>
        <v>5181</v>
      </c>
    </row>
    <row r="843" spans="2:19" x14ac:dyDescent="0.2">
      <c r="B843" s="48">
        <f t="shared" si="161"/>
        <v>388</v>
      </c>
      <c r="C843" s="9"/>
      <c r="D843" s="9"/>
      <c r="E843" s="9"/>
      <c r="F843" s="61" t="s">
        <v>109</v>
      </c>
      <c r="G843" s="8">
        <v>610</v>
      </c>
      <c r="H843" s="9" t="s">
        <v>132</v>
      </c>
      <c r="I843" s="62">
        <f>353116+100</f>
        <v>353216</v>
      </c>
      <c r="J843" s="62">
        <v>-30237</v>
      </c>
      <c r="K843" s="62">
        <f t="shared" si="152"/>
        <v>322979</v>
      </c>
      <c r="L843" s="62"/>
      <c r="M843" s="62"/>
      <c r="N843" s="62"/>
      <c r="O843" s="62">
        <f t="shared" si="153"/>
        <v>0</v>
      </c>
      <c r="P843" s="63"/>
      <c r="Q843" s="64">
        <f t="shared" si="157"/>
        <v>353216</v>
      </c>
      <c r="R843" s="64">
        <f t="shared" si="158"/>
        <v>-30237</v>
      </c>
      <c r="S843" s="64">
        <f t="shared" si="159"/>
        <v>322979</v>
      </c>
    </row>
    <row r="844" spans="2:19" x14ac:dyDescent="0.2">
      <c r="B844" s="48">
        <f t="shared" si="161"/>
        <v>389</v>
      </c>
      <c r="C844" s="9"/>
      <c r="D844" s="9"/>
      <c r="E844" s="9"/>
      <c r="F844" s="61" t="s">
        <v>109</v>
      </c>
      <c r="G844" s="8">
        <v>620</v>
      </c>
      <c r="H844" s="9" t="s">
        <v>125</v>
      </c>
      <c r="I844" s="62">
        <f>124679+35</f>
        <v>124714</v>
      </c>
      <c r="J844" s="62">
        <v>-9244</v>
      </c>
      <c r="K844" s="62">
        <f t="shared" si="152"/>
        <v>115470</v>
      </c>
      <c r="L844" s="62"/>
      <c r="M844" s="62"/>
      <c r="N844" s="62"/>
      <c r="O844" s="62">
        <f t="shared" si="153"/>
        <v>0</v>
      </c>
      <c r="P844" s="63"/>
      <c r="Q844" s="64">
        <f t="shared" si="157"/>
        <v>124714</v>
      </c>
      <c r="R844" s="64">
        <f t="shared" si="158"/>
        <v>-9244</v>
      </c>
      <c r="S844" s="64">
        <f t="shared" si="159"/>
        <v>115470</v>
      </c>
    </row>
    <row r="845" spans="2:19" x14ac:dyDescent="0.2">
      <c r="B845" s="48">
        <f t="shared" si="161"/>
        <v>390</v>
      </c>
      <c r="C845" s="9"/>
      <c r="D845" s="9"/>
      <c r="E845" s="9"/>
      <c r="F845" s="61" t="s">
        <v>109</v>
      </c>
      <c r="G845" s="8">
        <v>630</v>
      </c>
      <c r="H845" s="9" t="s">
        <v>122</v>
      </c>
      <c r="I845" s="62">
        <f>SUM(I846:I849)</f>
        <v>144300</v>
      </c>
      <c r="J845" s="62">
        <f>SUM(J846:J849)</f>
        <v>-23530</v>
      </c>
      <c r="K845" s="62">
        <f t="shared" si="152"/>
        <v>120770</v>
      </c>
      <c r="L845" s="62"/>
      <c r="M845" s="62"/>
      <c r="N845" s="62"/>
      <c r="O845" s="62">
        <f t="shared" si="153"/>
        <v>0</v>
      </c>
      <c r="P845" s="63"/>
      <c r="Q845" s="64">
        <f t="shared" si="157"/>
        <v>144300</v>
      </c>
      <c r="R845" s="64">
        <f t="shared" si="158"/>
        <v>-23530</v>
      </c>
      <c r="S845" s="64">
        <f t="shared" si="159"/>
        <v>120770</v>
      </c>
    </row>
    <row r="846" spans="2:19" x14ac:dyDescent="0.2">
      <c r="B846" s="48">
        <f t="shared" si="161"/>
        <v>391</v>
      </c>
      <c r="C846" s="11"/>
      <c r="D846" s="11"/>
      <c r="E846" s="11"/>
      <c r="F846" s="65"/>
      <c r="G846" s="10">
        <v>632</v>
      </c>
      <c r="H846" s="11" t="s">
        <v>135</v>
      </c>
      <c r="I846" s="66">
        <f>120+300+250+5000+37500+40000+3000+600+600+1600</f>
        <v>88970</v>
      </c>
      <c r="J846" s="66">
        <v>-24730</v>
      </c>
      <c r="K846" s="66">
        <f t="shared" si="152"/>
        <v>64240</v>
      </c>
      <c r="L846" s="66"/>
      <c r="M846" s="66"/>
      <c r="N846" s="66"/>
      <c r="O846" s="66">
        <f t="shared" si="153"/>
        <v>0</v>
      </c>
      <c r="P846" s="67"/>
      <c r="Q846" s="68">
        <f t="shared" si="157"/>
        <v>88970</v>
      </c>
      <c r="R846" s="68">
        <f t="shared" si="158"/>
        <v>-24730</v>
      </c>
      <c r="S846" s="68">
        <f t="shared" si="159"/>
        <v>64240</v>
      </c>
    </row>
    <row r="847" spans="2:19" x14ac:dyDescent="0.2">
      <c r="B847" s="48">
        <f t="shared" si="161"/>
        <v>392</v>
      </c>
      <c r="C847" s="11"/>
      <c r="D847" s="11"/>
      <c r="E847" s="11"/>
      <c r="F847" s="65"/>
      <c r="G847" s="10">
        <v>633</v>
      </c>
      <c r="H847" s="11" t="s">
        <v>126</v>
      </c>
      <c r="I847" s="66">
        <f>500+2000+600+400+300+250+350+1200+200+300</f>
        <v>6100</v>
      </c>
      <c r="J847" s="66">
        <v>1200</v>
      </c>
      <c r="K847" s="66">
        <f t="shared" si="152"/>
        <v>7300</v>
      </c>
      <c r="L847" s="66"/>
      <c r="M847" s="66"/>
      <c r="N847" s="66"/>
      <c r="O847" s="66">
        <f t="shared" si="153"/>
        <v>0</v>
      </c>
      <c r="P847" s="67"/>
      <c r="Q847" s="68">
        <f t="shared" si="157"/>
        <v>6100</v>
      </c>
      <c r="R847" s="68">
        <f t="shared" si="158"/>
        <v>1200</v>
      </c>
      <c r="S847" s="68">
        <f t="shared" si="159"/>
        <v>7300</v>
      </c>
    </row>
    <row r="848" spans="2:19" x14ac:dyDescent="0.2">
      <c r="B848" s="48">
        <f t="shared" si="161"/>
        <v>393</v>
      </c>
      <c r="C848" s="11"/>
      <c r="D848" s="11"/>
      <c r="E848" s="11"/>
      <c r="F848" s="65"/>
      <c r="G848" s="10">
        <v>635</v>
      </c>
      <c r="H848" s="11" t="s">
        <v>134</v>
      </c>
      <c r="I848" s="66">
        <f>20000+4000+650</f>
        <v>24650</v>
      </c>
      <c r="J848" s="66"/>
      <c r="K848" s="66">
        <f t="shared" si="152"/>
        <v>24650</v>
      </c>
      <c r="L848" s="66"/>
      <c r="M848" s="66"/>
      <c r="N848" s="66"/>
      <c r="O848" s="66">
        <f t="shared" si="153"/>
        <v>0</v>
      </c>
      <c r="P848" s="67"/>
      <c r="Q848" s="68">
        <f t="shared" si="157"/>
        <v>24650</v>
      </c>
      <c r="R848" s="68">
        <f t="shared" si="158"/>
        <v>0</v>
      </c>
      <c r="S848" s="68">
        <f t="shared" si="159"/>
        <v>24650</v>
      </c>
    </row>
    <row r="849" spans="2:19" x14ac:dyDescent="0.2">
      <c r="B849" s="48">
        <f t="shared" si="161"/>
        <v>394</v>
      </c>
      <c r="C849" s="11"/>
      <c r="D849" s="11"/>
      <c r="E849" s="11"/>
      <c r="F849" s="65"/>
      <c r="G849" s="10">
        <v>637</v>
      </c>
      <c r="H849" s="11" t="s">
        <v>123</v>
      </c>
      <c r="I849" s="66">
        <f>850+80+7000+500+1500+150+10450+1400+650+2000</f>
        <v>24580</v>
      </c>
      <c r="J849" s="66"/>
      <c r="K849" s="66">
        <f t="shared" si="152"/>
        <v>24580</v>
      </c>
      <c r="L849" s="66"/>
      <c r="M849" s="66"/>
      <c r="N849" s="66"/>
      <c r="O849" s="66">
        <f t="shared" si="153"/>
        <v>0</v>
      </c>
      <c r="P849" s="67"/>
      <c r="Q849" s="68">
        <f t="shared" si="157"/>
        <v>24580</v>
      </c>
      <c r="R849" s="68">
        <f t="shared" si="158"/>
        <v>0</v>
      </c>
      <c r="S849" s="68">
        <f t="shared" si="159"/>
        <v>24580</v>
      </c>
    </row>
    <row r="850" spans="2:19" x14ac:dyDescent="0.2">
      <c r="B850" s="48">
        <f t="shared" si="161"/>
        <v>395</v>
      </c>
      <c r="C850" s="9"/>
      <c r="D850" s="9"/>
      <c r="E850" s="9"/>
      <c r="F850" s="61" t="s">
        <v>109</v>
      </c>
      <c r="G850" s="8">
        <v>640</v>
      </c>
      <c r="H850" s="9" t="s">
        <v>130</v>
      </c>
      <c r="I850" s="62">
        <f>3590+500+400</f>
        <v>4490</v>
      </c>
      <c r="J850" s="62"/>
      <c r="K850" s="62">
        <f t="shared" si="152"/>
        <v>4490</v>
      </c>
      <c r="L850" s="62"/>
      <c r="M850" s="62"/>
      <c r="N850" s="62"/>
      <c r="O850" s="62">
        <f t="shared" si="153"/>
        <v>0</v>
      </c>
      <c r="P850" s="63"/>
      <c r="Q850" s="64">
        <f t="shared" si="157"/>
        <v>4490</v>
      </c>
      <c r="R850" s="64">
        <f t="shared" si="158"/>
        <v>0</v>
      </c>
      <c r="S850" s="64">
        <f t="shared" si="159"/>
        <v>4490</v>
      </c>
    </row>
    <row r="851" spans="2:19" x14ac:dyDescent="0.2">
      <c r="B851" s="48">
        <f t="shared" si="161"/>
        <v>396</v>
      </c>
      <c r="C851" s="9"/>
      <c r="D851" s="9"/>
      <c r="E851" s="9"/>
      <c r="F851" s="61"/>
      <c r="G851" s="8">
        <v>600</v>
      </c>
      <c r="H851" s="9" t="s">
        <v>607</v>
      </c>
      <c r="I851" s="62">
        <v>0</v>
      </c>
      <c r="J851" s="62">
        <v>20475</v>
      </c>
      <c r="K851" s="62">
        <f>I851+J851</f>
        <v>20475</v>
      </c>
      <c r="L851" s="62"/>
      <c r="M851" s="62"/>
      <c r="N851" s="62"/>
      <c r="O851" s="62">
        <f>M851+N851</f>
        <v>0</v>
      </c>
      <c r="P851" s="63"/>
      <c r="Q851" s="64">
        <f t="shared" si="157"/>
        <v>0</v>
      </c>
      <c r="R851" s="64">
        <f t="shared" si="158"/>
        <v>20475</v>
      </c>
      <c r="S851" s="64">
        <f t="shared" si="159"/>
        <v>20475</v>
      </c>
    </row>
    <row r="852" spans="2:19" x14ac:dyDescent="0.2">
      <c r="B852" s="48">
        <f t="shared" si="161"/>
        <v>397</v>
      </c>
      <c r="C852" s="9"/>
      <c r="D852" s="9"/>
      <c r="E852" s="9"/>
      <c r="F852" s="61" t="s">
        <v>109</v>
      </c>
      <c r="G852" s="8">
        <v>710</v>
      </c>
      <c r="H852" s="9" t="s">
        <v>176</v>
      </c>
      <c r="I852" s="62"/>
      <c r="J852" s="62"/>
      <c r="K852" s="62">
        <f t="shared" si="152"/>
        <v>0</v>
      </c>
      <c r="L852" s="62"/>
      <c r="M852" s="62">
        <f>M853</f>
        <v>144000</v>
      </c>
      <c r="N852" s="62">
        <f>N853</f>
        <v>13000</v>
      </c>
      <c r="O852" s="62">
        <f t="shared" si="153"/>
        <v>157000</v>
      </c>
      <c r="P852" s="63"/>
      <c r="Q852" s="64">
        <f t="shared" si="157"/>
        <v>144000</v>
      </c>
      <c r="R852" s="64">
        <f t="shared" si="158"/>
        <v>13000</v>
      </c>
      <c r="S852" s="64">
        <f t="shared" si="159"/>
        <v>157000</v>
      </c>
    </row>
    <row r="853" spans="2:19" x14ac:dyDescent="0.2">
      <c r="B853" s="48">
        <f t="shared" si="161"/>
        <v>398</v>
      </c>
      <c r="C853" s="11"/>
      <c r="D853" s="11"/>
      <c r="E853" s="11"/>
      <c r="F853" s="65"/>
      <c r="G853" s="10">
        <v>717</v>
      </c>
      <c r="H853" s="11" t="s">
        <v>183</v>
      </c>
      <c r="I853" s="66"/>
      <c r="J853" s="66"/>
      <c r="K853" s="66">
        <f t="shared" si="152"/>
        <v>0</v>
      </c>
      <c r="L853" s="66"/>
      <c r="M853" s="66">
        <f>SUM(M854:M856)</f>
        <v>144000</v>
      </c>
      <c r="N853" s="66">
        <f>SUM(N854:N856)</f>
        <v>13000</v>
      </c>
      <c r="O853" s="66">
        <f t="shared" si="153"/>
        <v>157000</v>
      </c>
      <c r="P853" s="67"/>
      <c r="Q853" s="68">
        <f t="shared" si="157"/>
        <v>144000</v>
      </c>
      <c r="R853" s="68">
        <f t="shared" si="158"/>
        <v>13000</v>
      </c>
      <c r="S853" s="68">
        <f t="shared" si="159"/>
        <v>157000</v>
      </c>
    </row>
    <row r="854" spans="2:19" x14ac:dyDescent="0.2">
      <c r="B854" s="48">
        <f t="shared" si="161"/>
        <v>399</v>
      </c>
      <c r="C854" s="13"/>
      <c r="D854" s="13"/>
      <c r="E854" s="13"/>
      <c r="F854" s="188"/>
      <c r="G854" s="82"/>
      <c r="H854" s="13" t="s">
        <v>359</v>
      </c>
      <c r="I854" s="83"/>
      <c r="J854" s="83"/>
      <c r="K854" s="83">
        <f t="shared" si="152"/>
        <v>0</v>
      </c>
      <c r="L854" s="83"/>
      <c r="M854" s="83">
        <v>65000</v>
      </c>
      <c r="N854" s="83"/>
      <c r="O854" s="83">
        <f t="shared" si="153"/>
        <v>65000</v>
      </c>
      <c r="P854" s="84"/>
      <c r="Q854" s="85">
        <f t="shared" si="157"/>
        <v>65000</v>
      </c>
      <c r="R854" s="85">
        <f t="shared" si="158"/>
        <v>0</v>
      </c>
      <c r="S854" s="85">
        <f t="shared" si="159"/>
        <v>65000</v>
      </c>
    </row>
    <row r="855" spans="2:19" s="164" customFormat="1" x14ac:dyDescent="0.2">
      <c r="B855" s="48">
        <f t="shared" si="161"/>
        <v>400</v>
      </c>
      <c r="C855" s="13"/>
      <c r="D855" s="13"/>
      <c r="E855" s="13"/>
      <c r="F855" s="188"/>
      <c r="G855" s="82"/>
      <c r="H855" s="13" t="s">
        <v>535</v>
      </c>
      <c r="I855" s="83"/>
      <c r="J855" s="83"/>
      <c r="K855" s="83">
        <f t="shared" si="152"/>
        <v>0</v>
      </c>
      <c r="L855" s="83"/>
      <c r="M855" s="83">
        <v>52000</v>
      </c>
      <c r="N855" s="83">
        <v>13000</v>
      </c>
      <c r="O855" s="83">
        <f t="shared" si="153"/>
        <v>65000</v>
      </c>
      <c r="P855" s="84"/>
      <c r="Q855" s="85">
        <f t="shared" si="157"/>
        <v>52000</v>
      </c>
      <c r="R855" s="85">
        <f t="shared" si="158"/>
        <v>13000</v>
      </c>
      <c r="S855" s="85">
        <f t="shared" si="159"/>
        <v>65000</v>
      </c>
    </row>
    <row r="856" spans="2:19" s="164" customFormat="1" x14ac:dyDescent="0.2">
      <c r="B856" s="48">
        <f t="shared" si="161"/>
        <v>401</v>
      </c>
      <c r="C856" s="13"/>
      <c r="D856" s="13"/>
      <c r="E856" s="13"/>
      <c r="F856" s="188"/>
      <c r="G856" s="82"/>
      <c r="H856" s="13" t="s">
        <v>539</v>
      </c>
      <c r="I856" s="83"/>
      <c r="J856" s="83"/>
      <c r="K856" s="83">
        <f t="shared" si="152"/>
        <v>0</v>
      </c>
      <c r="L856" s="83"/>
      <c r="M856" s="83">
        <v>27000</v>
      </c>
      <c r="N856" s="83"/>
      <c r="O856" s="83">
        <f t="shared" si="153"/>
        <v>27000</v>
      </c>
      <c r="P856" s="84"/>
      <c r="Q856" s="85">
        <f t="shared" si="157"/>
        <v>27000</v>
      </c>
      <c r="R856" s="85">
        <f t="shared" si="158"/>
        <v>0</v>
      </c>
      <c r="S856" s="85">
        <f t="shared" si="159"/>
        <v>27000</v>
      </c>
    </row>
    <row r="857" spans="2:19" ht="15" x14ac:dyDescent="0.2">
      <c r="B857" s="48">
        <f t="shared" si="161"/>
        <v>402</v>
      </c>
      <c r="C857" s="51">
        <v>3</v>
      </c>
      <c r="D857" s="435" t="s">
        <v>160</v>
      </c>
      <c r="E857" s="436"/>
      <c r="F857" s="436"/>
      <c r="G857" s="436"/>
      <c r="H857" s="436"/>
      <c r="I857" s="52">
        <f>I858+I867+I888+I895+I904+I913+I922+I931+I940+I949+I879</f>
        <v>5541964</v>
      </c>
      <c r="J857" s="52">
        <f>J858+J867+J888+J895+J904+J913+J922+J931+J940+J949+J879</f>
        <v>17080</v>
      </c>
      <c r="K857" s="52">
        <f t="shared" si="152"/>
        <v>5559044</v>
      </c>
      <c r="L857" s="53"/>
      <c r="M857" s="52">
        <f>M949</f>
        <v>60000</v>
      </c>
      <c r="N857" s="52">
        <f>N949</f>
        <v>0</v>
      </c>
      <c r="O857" s="52">
        <f t="shared" si="153"/>
        <v>60000</v>
      </c>
      <c r="P857" s="54"/>
      <c r="Q857" s="72">
        <f t="shared" si="157"/>
        <v>5601964</v>
      </c>
      <c r="R857" s="72">
        <f t="shared" si="158"/>
        <v>17080</v>
      </c>
      <c r="S857" s="72">
        <f t="shared" si="159"/>
        <v>5619044</v>
      </c>
    </row>
    <row r="858" spans="2:19" x14ac:dyDescent="0.2">
      <c r="B858" s="48">
        <f t="shared" si="161"/>
        <v>403</v>
      </c>
      <c r="C858" s="9"/>
      <c r="D858" s="9"/>
      <c r="E858" s="9"/>
      <c r="F858" s="61" t="s">
        <v>159</v>
      </c>
      <c r="G858" s="8">
        <v>640</v>
      </c>
      <c r="H858" s="9" t="s">
        <v>130</v>
      </c>
      <c r="I858" s="62">
        <f>SUM(I859:I866)</f>
        <v>1191257</v>
      </c>
      <c r="J858" s="62">
        <f>SUM(J859:J866)</f>
        <v>0</v>
      </c>
      <c r="K858" s="62">
        <f t="shared" si="152"/>
        <v>1191257</v>
      </c>
      <c r="L858" s="62"/>
      <c r="M858" s="62"/>
      <c r="N858" s="62"/>
      <c r="O858" s="62">
        <f t="shared" si="153"/>
        <v>0</v>
      </c>
      <c r="P858" s="63"/>
      <c r="Q858" s="64">
        <f t="shared" si="157"/>
        <v>1191257</v>
      </c>
      <c r="R858" s="64">
        <f t="shared" si="158"/>
        <v>0</v>
      </c>
      <c r="S858" s="64">
        <f t="shared" si="159"/>
        <v>1191257</v>
      </c>
    </row>
    <row r="859" spans="2:19" x14ac:dyDescent="0.2">
      <c r="B859" s="48">
        <f t="shared" si="161"/>
        <v>404</v>
      </c>
      <c r="C859" s="81"/>
      <c r="D859" s="81"/>
      <c r="E859" s="81"/>
      <c r="F859" s="82"/>
      <c r="G859" s="82"/>
      <c r="H859" s="13" t="s">
        <v>376</v>
      </c>
      <c r="I859" s="83">
        <f>9438-251</f>
        <v>9187</v>
      </c>
      <c r="J859" s="83"/>
      <c r="K859" s="83">
        <f t="shared" si="152"/>
        <v>9187</v>
      </c>
      <c r="L859" s="83"/>
      <c r="M859" s="83"/>
      <c r="N859" s="83"/>
      <c r="O859" s="83">
        <f t="shared" si="153"/>
        <v>0</v>
      </c>
      <c r="P859" s="84"/>
      <c r="Q859" s="85">
        <f t="shared" si="157"/>
        <v>9187</v>
      </c>
      <c r="R859" s="85">
        <f t="shared" si="158"/>
        <v>0</v>
      </c>
      <c r="S859" s="85">
        <f t="shared" si="159"/>
        <v>9187</v>
      </c>
    </row>
    <row r="860" spans="2:19" x14ac:dyDescent="0.2">
      <c r="B860" s="48">
        <f t="shared" si="161"/>
        <v>405</v>
      </c>
      <c r="C860" s="81"/>
      <c r="D860" s="81"/>
      <c r="E860" s="81"/>
      <c r="F860" s="82"/>
      <c r="G860" s="82"/>
      <c r="H860" s="13" t="s">
        <v>377</v>
      </c>
      <c r="I860" s="83">
        <f>51480-1367</f>
        <v>50113</v>
      </c>
      <c r="J860" s="83"/>
      <c r="K860" s="83">
        <f t="shared" si="152"/>
        <v>50113</v>
      </c>
      <c r="L860" s="83"/>
      <c r="M860" s="83"/>
      <c r="N860" s="83"/>
      <c r="O860" s="83">
        <f t="shared" si="153"/>
        <v>0</v>
      </c>
      <c r="P860" s="84"/>
      <c r="Q860" s="85">
        <f t="shared" si="157"/>
        <v>50113</v>
      </c>
      <c r="R860" s="85">
        <f t="shared" si="158"/>
        <v>0</v>
      </c>
      <c r="S860" s="85">
        <f t="shared" si="159"/>
        <v>50113</v>
      </c>
    </row>
    <row r="861" spans="2:19" x14ac:dyDescent="0.2">
      <c r="B861" s="48">
        <f t="shared" si="161"/>
        <v>406</v>
      </c>
      <c r="C861" s="81"/>
      <c r="D861" s="81"/>
      <c r="E861" s="81"/>
      <c r="F861" s="82"/>
      <c r="G861" s="82"/>
      <c r="H861" s="13" t="s">
        <v>378</v>
      </c>
      <c r="I861" s="83">
        <f>71280-1892</f>
        <v>69388</v>
      </c>
      <c r="J861" s="83"/>
      <c r="K861" s="83">
        <f t="shared" si="152"/>
        <v>69388</v>
      </c>
      <c r="L861" s="83"/>
      <c r="M861" s="83"/>
      <c r="N861" s="83"/>
      <c r="O861" s="83">
        <f t="shared" si="153"/>
        <v>0</v>
      </c>
      <c r="P861" s="84"/>
      <c r="Q861" s="85">
        <f t="shared" si="157"/>
        <v>69388</v>
      </c>
      <c r="R861" s="85">
        <f t="shared" si="158"/>
        <v>0</v>
      </c>
      <c r="S861" s="85">
        <f t="shared" si="159"/>
        <v>69388</v>
      </c>
    </row>
    <row r="862" spans="2:19" x14ac:dyDescent="0.2">
      <c r="B862" s="48">
        <f t="shared" si="161"/>
        <v>407</v>
      </c>
      <c r="C862" s="81"/>
      <c r="D862" s="81"/>
      <c r="E862" s="81"/>
      <c r="F862" s="82"/>
      <c r="G862" s="82"/>
      <c r="H862" s="13" t="s">
        <v>379</v>
      </c>
      <c r="I862" s="83">
        <f>246675-6545</f>
        <v>240130</v>
      </c>
      <c r="J862" s="83"/>
      <c r="K862" s="83">
        <f t="shared" si="152"/>
        <v>240130</v>
      </c>
      <c r="L862" s="83"/>
      <c r="M862" s="83"/>
      <c r="N862" s="83"/>
      <c r="O862" s="83">
        <f t="shared" si="153"/>
        <v>0</v>
      </c>
      <c r="P862" s="84"/>
      <c r="Q862" s="85">
        <f t="shared" si="157"/>
        <v>240130</v>
      </c>
      <c r="R862" s="85">
        <f t="shared" si="158"/>
        <v>0</v>
      </c>
      <c r="S862" s="85">
        <f t="shared" si="159"/>
        <v>240130</v>
      </c>
    </row>
    <row r="863" spans="2:19" x14ac:dyDescent="0.2">
      <c r="B863" s="48">
        <f t="shared" si="161"/>
        <v>408</v>
      </c>
      <c r="C863" s="81"/>
      <c r="D863" s="81"/>
      <c r="E863" s="81"/>
      <c r="F863" s="82"/>
      <c r="G863" s="82"/>
      <c r="H863" s="13" t="s">
        <v>380</v>
      </c>
      <c r="I863" s="83">
        <f>725835-19268</f>
        <v>706567</v>
      </c>
      <c r="J863" s="83"/>
      <c r="K863" s="83">
        <f t="shared" si="152"/>
        <v>706567</v>
      </c>
      <c r="L863" s="83"/>
      <c r="M863" s="83"/>
      <c r="N863" s="83"/>
      <c r="O863" s="83">
        <f t="shared" si="153"/>
        <v>0</v>
      </c>
      <c r="P863" s="84"/>
      <c r="Q863" s="85">
        <f t="shared" si="157"/>
        <v>706567</v>
      </c>
      <c r="R863" s="85">
        <f t="shared" si="158"/>
        <v>0</v>
      </c>
      <c r="S863" s="85">
        <f t="shared" si="159"/>
        <v>706567</v>
      </c>
    </row>
    <row r="864" spans="2:19" x14ac:dyDescent="0.2">
      <c r="B864" s="48">
        <f t="shared" si="161"/>
        <v>409</v>
      </c>
      <c r="C864" s="81"/>
      <c r="D864" s="81"/>
      <c r="E864" s="81"/>
      <c r="F864" s="82"/>
      <c r="G864" s="82"/>
      <c r="H864" s="13" t="s">
        <v>381</v>
      </c>
      <c r="I864" s="83">
        <f>29271-777</f>
        <v>28494</v>
      </c>
      <c r="J864" s="83"/>
      <c r="K864" s="83">
        <f t="shared" ref="K864:K927" si="162">I864+J864</f>
        <v>28494</v>
      </c>
      <c r="L864" s="83"/>
      <c r="M864" s="83"/>
      <c r="N864" s="83"/>
      <c r="O864" s="83">
        <f t="shared" ref="O864:O927" si="163">M864+N864</f>
        <v>0</v>
      </c>
      <c r="P864" s="84"/>
      <c r="Q864" s="85">
        <f t="shared" si="157"/>
        <v>28494</v>
      </c>
      <c r="R864" s="85">
        <f t="shared" si="158"/>
        <v>0</v>
      </c>
      <c r="S864" s="85">
        <f t="shared" si="159"/>
        <v>28494</v>
      </c>
    </row>
    <row r="865" spans="2:19" x14ac:dyDescent="0.2">
      <c r="B865" s="48">
        <f t="shared" si="161"/>
        <v>410</v>
      </c>
      <c r="C865" s="81"/>
      <c r="D865" s="81"/>
      <c r="E865" s="81"/>
      <c r="F865" s="82"/>
      <c r="G865" s="82"/>
      <c r="H865" s="13" t="s">
        <v>293</v>
      </c>
      <c r="I865" s="83">
        <f>15840-420</f>
        <v>15420</v>
      </c>
      <c r="J865" s="83"/>
      <c r="K865" s="83">
        <f t="shared" si="162"/>
        <v>15420</v>
      </c>
      <c r="L865" s="83"/>
      <c r="M865" s="83"/>
      <c r="N865" s="83"/>
      <c r="O865" s="83">
        <f t="shared" si="163"/>
        <v>0</v>
      </c>
      <c r="P865" s="84"/>
      <c r="Q865" s="85">
        <f t="shared" si="157"/>
        <v>15420</v>
      </c>
      <c r="R865" s="85">
        <f t="shared" si="158"/>
        <v>0</v>
      </c>
      <c r="S865" s="85">
        <f t="shared" si="159"/>
        <v>15420</v>
      </c>
    </row>
    <row r="866" spans="2:19" x14ac:dyDescent="0.2">
      <c r="B866" s="48">
        <f t="shared" si="161"/>
        <v>411</v>
      </c>
      <c r="C866" s="81"/>
      <c r="D866" s="81"/>
      <c r="E866" s="81"/>
      <c r="F866" s="82"/>
      <c r="G866" s="82"/>
      <c r="H866" s="13" t="s">
        <v>389</v>
      </c>
      <c r="I866" s="83">
        <f>73920-1962</f>
        <v>71958</v>
      </c>
      <c r="J866" s="83"/>
      <c r="K866" s="83">
        <f t="shared" si="162"/>
        <v>71958</v>
      </c>
      <c r="L866" s="83"/>
      <c r="M866" s="83"/>
      <c r="N866" s="83"/>
      <c r="O866" s="83">
        <f t="shared" si="163"/>
        <v>0</v>
      </c>
      <c r="P866" s="84"/>
      <c r="Q866" s="85">
        <f t="shared" si="157"/>
        <v>71958</v>
      </c>
      <c r="R866" s="85">
        <f t="shared" si="158"/>
        <v>0</v>
      </c>
      <c r="S866" s="85">
        <f t="shared" si="159"/>
        <v>71958</v>
      </c>
    </row>
    <row r="867" spans="2:19" ht="15" x14ac:dyDescent="0.25">
      <c r="B867" s="48">
        <f t="shared" si="161"/>
        <v>412</v>
      </c>
      <c r="C867" s="166"/>
      <c r="D867" s="166"/>
      <c r="E867" s="166">
        <v>1</v>
      </c>
      <c r="F867" s="167"/>
      <c r="G867" s="167"/>
      <c r="H867" s="166" t="s">
        <v>49</v>
      </c>
      <c r="I867" s="168">
        <f>I868+I869+I870+I878</f>
        <v>331818</v>
      </c>
      <c r="J867" s="168">
        <f>J868+J869+J870+J878</f>
        <v>2980</v>
      </c>
      <c r="K867" s="168">
        <f t="shared" si="162"/>
        <v>334798</v>
      </c>
      <c r="L867" s="58"/>
      <c r="M867" s="168"/>
      <c r="N867" s="168"/>
      <c r="O867" s="168">
        <f t="shared" si="163"/>
        <v>0</v>
      </c>
      <c r="P867" s="59"/>
      <c r="Q867" s="169">
        <f t="shared" si="157"/>
        <v>331818</v>
      </c>
      <c r="R867" s="169">
        <f t="shared" si="158"/>
        <v>2980</v>
      </c>
      <c r="S867" s="169">
        <f t="shared" si="159"/>
        <v>334798</v>
      </c>
    </row>
    <row r="868" spans="2:19" x14ac:dyDescent="0.2">
      <c r="B868" s="48">
        <f t="shared" si="161"/>
        <v>413</v>
      </c>
      <c r="C868" s="9"/>
      <c r="D868" s="9"/>
      <c r="E868" s="9"/>
      <c r="F868" s="61" t="s">
        <v>159</v>
      </c>
      <c r="G868" s="8">
        <v>610</v>
      </c>
      <c r="H868" s="9" t="s">
        <v>132</v>
      </c>
      <c r="I868" s="62">
        <f>115850+19800+14000+3300+24850+100</f>
        <v>177900</v>
      </c>
      <c r="J868" s="62"/>
      <c r="K868" s="62">
        <f t="shared" si="162"/>
        <v>177900</v>
      </c>
      <c r="L868" s="62"/>
      <c r="M868" s="62"/>
      <c r="N868" s="62"/>
      <c r="O868" s="62">
        <f t="shared" si="163"/>
        <v>0</v>
      </c>
      <c r="P868" s="63"/>
      <c r="Q868" s="64">
        <f t="shared" si="157"/>
        <v>177900</v>
      </c>
      <c r="R868" s="64">
        <f t="shared" si="158"/>
        <v>0</v>
      </c>
      <c r="S868" s="64">
        <f t="shared" si="159"/>
        <v>177900</v>
      </c>
    </row>
    <row r="869" spans="2:19" x14ac:dyDescent="0.2">
      <c r="B869" s="48">
        <f t="shared" si="161"/>
        <v>414</v>
      </c>
      <c r="C869" s="9"/>
      <c r="D869" s="9"/>
      <c r="E869" s="9"/>
      <c r="F869" s="61" t="s">
        <v>159</v>
      </c>
      <c r="G869" s="8">
        <v>620</v>
      </c>
      <c r="H869" s="9" t="s">
        <v>125</v>
      </c>
      <c r="I869" s="62">
        <f>8230+10000+2970+26210+3180+5290+1770+8495+35</f>
        <v>66180</v>
      </c>
      <c r="J869" s="62"/>
      <c r="K869" s="62">
        <f t="shared" si="162"/>
        <v>66180</v>
      </c>
      <c r="L869" s="62"/>
      <c r="M869" s="62"/>
      <c r="N869" s="62"/>
      <c r="O869" s="62">
        <f t="shared" si="163"/>
        <v>0</v>
      </c>
      <c r="P869" s="63"/>
      <c r="Q869" s="64">
        <f t="shared" si="157"/>
        <v>66180</v>
      </c>
      <c r="R869" s="64">
        <f t="shared" si="158"/>
        <v>0</v>
      </c>
      <c r="S869" s="64">
        <f t="shared" si="159"/>
        <v>66180</v>
      </c>
    </row>
    <row r="870" spans="2:19" s="164" customFormat="1" x14ac:dyDescent="0.2">
      <c r="B870" s="48">
        <f t="shared" si="161"/>
        <v>415</v>
      </c>
      <c r="C870" s="9"/>
      <c r="D870" s="9"/>
      <c r="E870" s="9"/>
      <c r="F870" s="61" t="s">
        <v>159</v>
      </c>
      <c r="G870" s="8">
        <v>630</v>
      </c>
      <c r="H870" s="9" t="s">
        <v>122</v>
      </c>
      <c r="I870" s="62">
        <f>I877+I876+I875+I874+I873+I872+I871</f>
        <v>87138</v>
      </c>
      <c r="J870" s="62">
        <f>J877+J876+J875+J874+J873+J872+J871</f>
        <v>2980</v>
      </c>
      <c r="K870" s="62">
        <f t="shared" si="162"/>
        <v>90118</v>
      </c>
      <c r="L870" s="62"/>
      <c r="M870" s="62"/>
      <c r="N870" s="62"/>
      <c r="O870" s="62">
        <f t="shared" si="163"/>
        <v>0</v>
      </c>
      <c r="P870" s="63"/>
      <c r="Q870" s="64">
        <f t="shared" si="157"/>
        <v>87138</v>
      </c>
      <c r="R870" s="64">
        <f t="shared" si="158"/>
        <v>2980</v>
      </c>
      <c r="S870" s="64">
        <f t="shared" si="159"/>
        <v>90118</v>
      </c>
    </row>
    <row r="871" spans="2:19" x14ac:dyDescent="0.2">
      <c r="B871" s="48">
        <f t="shared" si="161"/>
        <v>416</v>
      </c>
      <c r="C871" s="11"/>
      <c r="D871" s="11"/>
      <c r="E871" s="11"/>
      <c r="F871" s="65"/>
      <c r="G871" s="10">
        <v>631</v>
      </c>
      <c r="H871" s="11" t="s">
        <v>128</v>
      </c>
      <c r="I871" s="66">
        <v>200</v>
      </c>
      <c r="J871" s="66"/>
      <c r="K871" s="66">
        <f t="shared" si="162"/>
        <v>200</v>
      </c>
      <c r="L871" s="66"/>
      <c r="M871" s="66"/>
      <c r="N871" s="66"/>
      <c r="O871" s="66">
        <f t="shared" si="163"/>
        <v>0</v>
      </c>
      <c r="P871" s="67"/>
      <c r="Q871" s="68">
        <f t="shared" si="157"/>
        <v>200</v>
      </c>
      <c r="R871" s="68">
        <f t="shared" si="158"/>
        <v>0</v>
      </c>
      <c r="S871" s="68">
        <f t="shared" si="159"/>
        <v>200</v>
      </c>
    </row>
    <row r="872" spans="2:19" x14ac:dyDescent="0.2">
      <c r="B872" s="48">
        <f t="shared" si="161"/>
        <v>417</v>
      </c>
      <c r="C872" s="11"/>
      <c r="D872" s="11"/>
      <c r="E872" s="11"/>
      <c r="F872" s="65"/>
      <c r="G872" s="10">
        <v>632</v>
      </c>
      <c r="H872" s="11" t="s">
        <v>135</v>
      </c>
      <c r="I872" s="66">
        <f>9500+1500+1000</f>
        <v>12000</v>
      </c>
      <c r="J872" s="66">
        <v>2500</v>
      </c>
      <c r="K872" s="66">
        <f t="shared" si="162"/>
        <v>14500</v>
      </c>
      <c r="L872" s="66"/>
      <c r="M872" s="66"/>
      <c r="N872" s="66"/>
      <c r="O872" s="66">
        <f t="shared" si="163"/>
        <v>0</v>
      </c>
      <c r="P872" s="67"/>
      <c r="Q872" s="68">
        <f t="shared" ref="Q872:Q935" si="164">I872+M872</f>
        <v>12000</v>
      </c>
      <c r="R872" s="68">
        <f t="shared" ref="R872:R935" si="165">J872+N872</f>
        <v>2500</v>
      </c>
      <c r="S872" s="68">
        <f t="shared" ref="S872:S935" si="166">K872+O872</f>
        <v>14500</v>
      </c>
    </row>
    <row r="873" spans="2:19" x14ac:dyDescent="0.2">
      <c r="B873" s="48">
        <f t="shared" si="161"/>
        <v>418</v>
      </c>
      <c r="C873" s="11"/>
      <c r="D873" s="11"/>
      <c r="E873" s="11"/>
      <c r="F873" s="65"/>
      <c r="G873" s="10">
        <v>633</v>
      </c>
      <c r="H873" s="11" t="s">
        <v>126</v>
      </c>
      <c r="I873" s="66">
        <f>4000+2000+800+5000+3000+1000+500-2200</f>
        <v>14100</v>
      </c>
      <c r="J873" s="66"/>
      <c r="K873" s="66">
        <f t="shared" si="162"/>
        <v>14100</v>
      </c>
      <c r="L873" s="66"/>
      <c r="M873" s="66"/>
      <c r="N873" s="66"/>
      <c r="O873" s="66">
        <f t="shared" si="163"/>
        <v>0</v>
      </c>
      <c r="P873" s="67"/>
      <c r="Q873" s="68">
        <f t="shared" si="164"/>
        <v>14100</v>
      </c>
      <c r="R873" s="68">
        <f t="shared" si="165"/>
        <v>0</v>
      </c>
      <c r="S873" s="68">
        <f t="shared" si="166"/>
        <v>14100</v>
      </c>
    </row>
    <row r="874" spans="2:19" x14ac:dyDescent="0.2">
      <c r="B874" s="48">
        <f t="shared" si="161"/>
        <v>419</v>
      </c>
      <c r="C874" s="11"/>
      <c r="D874" s="11"/>
      <c r="E874" s="11"/>
      <c r="F874" s="65"/>
      <c r="G874" s="10">
        <v>634</v>
      </c>
      <c r="H874" s="11" t="s">
        <v>133</v>
      </c>
      <c r="I874" s="66">
        <v>100</v>
      </c>
      <c r="J874" s="66"/>
      <c r="K874" s="66">
        <f t="shared" si="162"/>
        <v>100</v>
      </c>
      <c r="L874" s="66"/>
      <c r="M874" s="66"/>
      <c r="N874" s="66"/>
      <c r="O874" s="66">
        <f t="shared" si="163"/>
        <v>0</v>
      </c>
      <c r="P874" s="67"/>
      <c r="Q874" s="68">
        <f t="shared" si="164"/>
        <v>100</v>
      </c>
      <c r="R874" s="68">
        <f t="shared" si="165"/>
        <v>0</v>
      </c>
      <c r="S874" s="68">
        <f t="shared" si="166"/>
        <v>100</v>
      </c>
    </row>
    <row r="875" spans="2:19" x14ac:dyDescent="0.2">
      <c r="B875" s="48">
        <f t="shared" si="161"/>
        <v>420</v>
      </c>
      <c r="C875" s="11"/>
      <c r="D875" s="11"/>
      <c r="E875" s="11"/>
      <c r="F875" s="65"/>
      <c r="G875" s="10">
        <v>635</v>
      </c>
      <c r="H875" s="11" t="s">
        <v>134</v>
      </c>
      <c r="I875" s="66">
        <f>2000+500+2000</f>
        <v>4500</v>
      </c>
      <c r="J875" s="66"/>
      <c r="K875" s="66">
        <f t="shared" si="162"/>
        <v>4500</v>
      </c>
      <c r="L875" s="66"/>
      <c r="M875" s="66"/>
      <c r="N875" s="66"/>
      <c r="O875" s="66">
        <f t="shared" si="163"/>
        <v>0</v>
      </c>
      <c r="P875" s="67"/>
      <c r="Q875" s="68">
        <f t="shared" si="164"/>
        <v>4500</v>
      </c>
      <c r="R875" s="68">
        <f t="shared" si="165"/>
        <v>0</v>
      </c>
      <c r="S875" s="68">
        <f t="shared" si="166"/>
        <v>4500</v>
      </c>
    </row>
    <row r="876" spans="2:19" x14ac:dyDescent="0.2">
      <c r="B876" s="48">
        <f t="shared" si="161"/>
        <v>421</v>
      </c>
      <c r="C876" s="11"/>
      <c r="D876" s="11"/>
      <c r="E876" s="11"/>
      <c r="F876" s="65"/>
      <c r="G876" s="10">
        <v>636</v>
      </c>
      <c r="H876" s="11" t="s">
        <v>127</v>
      </c>
      <c r="I876" s="66">
        <f>500+1500</f>
        <v>2000</v>
      </c>
      <c r="J876" s="66">
        <v>480</v>
      </c>
      <c r="K876" s="66">
        <f t="shared" si="162"/>
        <v>2480</v>
      </c>
      <c r="L876" s="66"/>
      <c r="M876" s="66"/>
      <c r="N876" s="66"/>
      <c r="O876" s="66">
        <f t="shared" si="163"/>
        <v>0</v>
      </c>
      <c r="P876" s="67"/>
      <c r="Q876" s="68">
        <f t="shared" si="164"/>
        <v>2000</v>
      </c>
      <c r="R876" s="68">
        <f t="shared" si="165"/>
        <v>480</v>
      </c>
      <c r="S876" s="68">
        <f t="shared" si="166"/>
        <v>2480</v>
      </c>
    </row>
    <row r="877" spans="2:19" x14ac:dyDescent="0.2">
      <c r="B877" s="48">
        <f t="shared" si="161"/>
        <v>422</v>
      </c>
      <c r="C877" s="11"/>
      <c r="D877" s="11"/>
      <c r="E877" s="11"/>
      <c r="F877" s="65"/>
      <c r="G877" s="10">
        <v>637</v>
      </c>
      <c r="H877" s="11" t="s">
        <v>123</v>
      </c>
      <c r="I877" s="66">
        <f>1000+27000+200+4000+2888+600+5000+200+1500+10000+500-2200+3550</f>
        <v>54238</v>
      </c>
      <c r="J877" s="66"/>
      <c r="K877" s="66">
        <f t="shared" si="162"/>
        <v>54238</v>
      </c>
      <c r="L877" s="66"/>
      <c r="M877" s="66"/>
      <c r="N877" s="66"/>
      <c r="O877" s="66">
        <f t="shared" si="163"/>
        <v>0</v>
      </c>
      <c r="P877" s="67"/>
      <c r="Q877" s="68">
        <f t="shared" si="164"/>
        <v>54238</v>
      </c>
      <c r="R877" s="68">
        <f t="shared" si="165"/>
        <v>0</v>
      </c>
      <c r="S877" s="68">
        <f t="shared" si="166"/>
        <v>54238</v>
      </c>
    </row>
    <row r="878" spans="2:19" x14ac:dyDescent="0.2">
      <c r="B878" s="48">
        <f t="shared" si="161"/>
        <v>423</v>
      </c>
      <c r="C878" s="9"/>
      <c r="D878" s="9"/>
      <c r="E878" s="9"/>
      <c r="F878" s="61" t="s">
        <v>159</v>
      </c>
      <c r="G878" s="8">
        <v>640</v>
      </c>
      <c r="H878" s="9" t="s">
        <v>130</v>
      </c>
      <c r="I878" s="62">
        <v>600</v>
      </c>
      <c r="J878" s="62"/>
      <c r="K878" s="62">
        <f t="shared" si="162"/>
        <v>600</v>
      </c>
      <c r="L878" s="62"/>
      <c r="M878" s="62"/>
      <c r="N878" s="62"/>
      <c r="O878" s="62">
        <f t="shared" si="163"/>
        <v>0</v>
      </c>
      <c r="P878" s="63"/>
      <c r="Q878" s="64">
        <f t="shared" si="164"/>
        <v>600</v>
      </c>
      <c r="R878" s="64">
        <f t="shared" si="165"/>
        <v>0</v>
      </c>
      <c r="S878" s="64">
        <f t="shared" si="166"/>
        <v>600</v>
      </c>
    </row>
    <row r="879" spans="2:19" ht="15" x14ac:dyDescent="0.25">
      <c r="B879" s="48">
        <f t="shared" si="161"/>
        <v>424</v>
      </c>
      <c r="C879" s="166"/>
      <c r="D879" s="166"/>
      <c r="E879" s="166">
        <v>6</v>
      </c>
      <c r="F879" s="167"/>
      <c r="G879" s="167"/>
      <c r="H879" s="166" t="s">
        <v>286</v>
      </c>
      <c r="I879" s="168">
        <f>I880+I881+I882+I887</f>
        <v>280829</v>
      </c>
      <c r="J879" s="168">
        <f>J880+J881+J882+J887</f>
        <v>0</v>
      </c>
      <c r="K879" s="168">
        <f t="shared" si="162"/>
        <v>280829</v>
      </c>
      <c r="L879" s="58"/>
      <c r="M879" s="168"/>
      <c r="N879" s="168"/>
      <c r="O879" s="168">
        <f t="shared" si="163"/>
        <v>0</v>
      </c>
      <c r="P879" s="59"/>
      <c r="Q879" s="169">
        <f t="shared" si="164"/>
        <v>280829</v>
      </c>
      <c r="R879" s="169">
        <f t="shared" si="165"/>
        <v>0</v>
      </c>
      <c r="S879" s="169">
        <f t="shared" si="166"/>
        <v>280829</v>
      </c>
    </row>
    <row r="880" spans="2:19" x14ac:dyDescent="0.2">
      <c r="B880" s="48">
        <f t="shared" si="161"/>
        <v>425</v>
      </c>
      <c r="C880" s="9"/>
      <c r="D880" s="9"/>
      <c r="E880" s="9"/>
      <c r="F880" s="61" t="s">
        <v>159</v>
      </c>
      <c r="G880" s="8">
        <v>610</v>
      </c>
      <c r="H880" s="9" t="s">
        <v>132</v>
      </c>
      <c r="I880" s="62">
        <f>4000+600+1200+139589+2600</f>
        <v>147989</v>
      </c>
      <c r="J880" s="62"/>
      <c r="K880" s="62">
        <f t="shared" si="162"/>
        <v>147989</v>
      </c>
      <c r="L880" s="62"/>
      <c r="M880" s="62"/>
      <c r="N880" s="62"/>
      <c r="O880" s="62">
        <f t="shared" si="163"/>
        <v>0</v>
      </c>
      <c r="P880" s="63"/>
      <c r="Q880" s="64">
        <f t="shared" si="164"/>
        <v>147989</v>
      </c>
      <c r="R880" s="64">
        <f t="shared" si="165"/>
        <v>0</v>
      </c>
      <c r="S880" s="64">
        <f t="shared" si="166"/>
        <v>147989</v>
      </c>
    </row>
    <row r="881" spans="2:19" x14ac:dyDescent="0.2">
      <c r="B881" s="48">
        <f t="shared" si="161"/>
        <v>426</v>
      </c>
      <c r="C881" s="9"/>
      <c r="D881" s="9"/>
      <c r="E881" s="9"/>
      <c r="F881" s="61" t="s">
        <v>159</v>
      </c>
      <c r="G881" s="8">
        <v>620</v>
      </c>
      <c r="H881" s="9" t="s">
        <v>125</v>
      </c>
      <c r="I881" s="62">
        <v>48982</v>
      </c>
      <c r="J881" s="62"/>
      <c r="K881" s="62">
        <f t="shared" si="162"/>
        <v>48982</v>
      </c>
      <c r="L881" s="62"/>
      <c r="M881" s="62"/>
      <c r="N881" s="62"/>
      <c r="O881" s="62">
        <f t="shared" si="163"/>
        <v>0</v>
      </c>
      <c r="P881" s="63"/>
      <c r="Q881" s="64">
        <f t="shared" si="164"/>
        <v>48982</v>
      </c>
      <c r="R881" s="64">
        <f t="shared" si="165"/>
        <v>0</v>
      </c>
      <c r="S881" s="64">
        <f t="shared" si="166"/>
        <v>48982</v>
      </c>
    </row>
    <row r="882" spans="2:19" x14ac:dyDescent="0.2">
      <c r="B882" s="48">
        <f t="shared" si="161"/>
        <v>427</v>
      </c>
      <c r="C882" s="9"/>
      <c r="D882" s="9"/>
      <c r="E882" s="9"/>
      <c r="F882" s="61" t="s">
        <v>159</v>
      </c>
      <c r="G882" s="8">
        <v>630</v>
      </c>
      <c r="H882" s="9" t="s">
        <v>122</v>
      </c>
      <c r="I882" s="62">
        <f>SUM(I883:I886)</f>
        <v>83138</v>
      </c>
      <c r="J882" s="62">
        <f>SUM(J883:J886)</f>
        <v>0</v>
      </c>
      <c r="K882" s="62">
        <f t="shared" si="162"/>
        <v>83138</v>
      </c>
      <c r="L882" s="62"/>
      <c r="M882" s="62"/>
      <c r="N882" s="62"/>
      <c r="O882" s="62">
        <f t="shared" si="163"/>
        <v>0</v>
      </c>
      <c r="P882" s="63"/>
      <c r="Q882" s="64">
        <f t="shared" si="164"/>
        <v>83138</v>
      </c>
      <c r="R882" s="64">
        <f t="shared" si="165"/>
        <v>0</v>
      </c>
      <c r="S882" s="64">
        <f t="shared" si="166"/>
        <v>83138</v>
      </c>
    </row>
    <row r="883" spans="2:19" x14ac:dyDescent="0.2">
      <c r="B883" s="48">
        <f t="shared" si="161"/>
        <v>428</v>
      </c>
      <c r="C883" s="11"/>
      <c r="D883" s="11"/>
      <c r="E883" s="11"/>
      <c r="F883" s="65"/>
      <c r="G883" s="10">
        <v>632</v>
      </c>
      <c r="H883" s="11" t="s">
        <v>135</v>
      </c>
      <c r="I883" s="66">
        <f>66139+9207+500+500+1000-3376</f>
        <v>73970</v>
      </c>
      <c r="J883" s="66"/>
      <c r="K883" s="66">
        <f t="shared" si="162"/>
        <v>73970</v>
      </c>
      <c r="L883" s="66"/>
      <c r="M883" s="66"/>
      <c r="N883" s="66"/>
      <c r="O883" s="66">
        <f t="shared" si="163"/>
        <v>0</v>
      </c>
      <c r="P883" s="67"/>
      <c r="Q883" s="68">
        <f t="shared" si="164"/>
        <v>73970</v>
      </c>
      <c r="R883" s="68">
        <f t="shared" si="165"/>
        <v>0</v>
      </c>
      <c r="S883" s="68">
        <f t="shared" si="166"/>
        <v>73970</v>
      </c>
    </row>
    <row r="884" spans="2:19" x14ac:dyDescent="0.2">
      <c r="B884" s="48">
        <f t="shared" si="161"/>
        <v>429</v>
      </c>
      <c r="C884" s="11"/>
      <c r="D884" s="11"/>
      <c r="E884" s="11"/>
      <c r="F884" s="65"/>
      <c r="G884" s="10">
        <v>633</v>
      </c>
      <c r="H884" s="11" t="s">
        <v>126</v>
      </c>
      <c r="I884" s="66">
        <f>800+150+500+2398+1970-1000</f>
        <v>4818</v>
      </c>
      <c r="J884" s="66"/>
      <c r="K884" s="66">
        <f t="shared" si="162"/>
        <v>4818</v>
      </c>
      <c r="L884" s="66"/>
      <c r="M884" s="66"/>
      <c r="N884" s="66"/>
      <c r="O884" s="66">
        <f t="shared" si="163"/>
        <v>0</v>
      </c>
      <c r="P884" s="67"/>
      <c r="Q884" s="68">
        <f t="shared" si="164"/>
        <v>4818</v>
      </c>
      <c r="R884" s="68">
        <f t="shared" si="165"/>
        <v>0</v>
      </c>
      <c r="S884" s="68">
        <f t="shared" si="166"/>
        <v>4818</v>
      </c>
    </row>
    <row r="885" spans="2:19" x14ac:dyDescent="0.2">
      <c r="B885" s="48">
        <f t="shared" si="161"/>
        <v>430</v>
      </c>
      <c r="C885" s="11"/>
      <c r="D885" s="11"/>
      <c r="E885" s="11"/>
      <c r="F885" s="65"/>
      <c r="G885" s="10">
        <v>635</v>
      </c>
      <c r="H885" s="11" t="s">
        <v>134</v>
      </c>
      <c r="I885" s="66">
        <f>871</f>
        <v>871</v>
      </c>
      <c r="J885" s="66"/>
      <c r="K885" s="66">
        <f t="shared" si="162"/>
        <v>871</v>
      </c>
      <c r="L885" s="66"/>
      <c r="M885" s="66"/>
      <c r="N885" s="66"/>
      <c r="O885" s="66">
        <f t="shared" si="163"/>
        <v>0</v>
      </c>
      <c r="P885" s="67"/>
      <c r="Q885" s="68">
        <f t="shared" si="164"/>
        <v>871</v>
      </c>
      <c r="R885" s="68">
        <f t="shared" si="165"/>
        <v>0</v>
      </c>
      <c r="S885" s="68">
        <f t="shared" si="166"/>
        <v>871</v>
      </c>
    </row>
    <row r="886" spans="2:19" x14ac:dyDescent="0.2">
      <c r="B886" s="48">
        <f t="shared" si="161"/>
        <v>431</v>
      </c>
      <c r="C886" s="11"/>
      <c r="D886" s="11"/>
      <c r="E886" s="11"/>
      <c r="F886" s="65"/>
      <c r="G886" s="10">
        <v>637</v>
      </c>
      <c r="H886" s="11" t="s">
        <v>123</v>
      </c>
      <c r="I886" s="66">
        <f>580+400+1070+1429</f>
        <v>3479</v>
      </c>
      <c r="J886" s="66"/>
      <c r="K886" s="66">
        <f t="shared" si="162"/>
        <v>3479</v>
      </c>
      <c r="L886" s="66"/>
      <c r="M886" s="66"/>
      <c r="N886" s="66"/>
      <c r="O886" s="66">
        <f t="shared" si="163"/>
        <v>0</v>
      </c>
      <c r="P886" s="67"/>
      <c r="Q886" s="68">
        <f t="shared" si="164"/>
        <v>3479</v>
      </c>
      <c r="R886" s="68">
        <f t="shared" si="165"/>
        <v>0</v>
      </c>
      <c r="S886" s="68">
        <f t="shared" si="166"/>
        <v>3479</v>
      </c>
    </row>
    <row r="887" spans="2:19" x14ac:dyDescent="0.2">
      <c r="B887" s="48">
        <f t="shared" si="161"/>
        <v>432</v>
      </c>
      <c r="C887" s="9"/>
      <c r="D887" s="9"/>
      <c r="E887" s="9"/>
      <c r="F887" s="61" t="s">
        <v>159</v>
      </c>
      <c r="G887" s="8">
        <v>640</v>
      </c>
      <c r="H887" s="9" t="s">
        <v>130</v>
      </c>
      <c r="I887" s="62">
        <v>720</v>
      </c>
      <c r="J887" s="62"/>
      <c r="K887" s="62">
        <f t="shared" si="162"/>
        <v>720</v>
      </c>
      <c r="L887" s="62"/>
      <c r="M887" s="62"/>
      <c r="N887" s="62"/>
      <c r="O887" s="62">
        <f t="shared" si="163"/>
        <v>0</v>
      </c>
      <c r="P887" s="63"/>
      <c r="Q887" s="64">
        <f t="shared" si="164"/>
        <v>720</v>
      </c>
      <c r="R887" s="64">
        <f t="shared" si="165"/>
        <v>0</v>
      </c>
      <c r="S887" s="64">
        <f t="shared" si="166"/>
        <v>720</v>
      </c>
    </row>
    <row r="888" spans="2:19" ht="15" x14ac:dyDescent="0.25">
      <c r="B888" s="48">
        <f t="shared" si="161"/>
        <v>433</v>
      </c>
      <c r="C888" s="166"/>
      <c r="D888" s="166"/>
      <c r="E888" s="166">
        <v>7</v>
      </c>
      <c r="F888" s="167"/>
      <c r="G888" s="167"/>
      <c r="H888" s="166" t="s">
        <v>288</v>
      </c>
      <c r="I888" s="168">
        <f>I889+I890+I891</f>
        <v>227348</v>
      </c>
      <c r="J888" s="168">
        <f>J889+J890+J891</f>
        <v>0</v>
      </c>
      <c r="K888" s="168">
        <f t="shared" si="162"/>
        <v>227348</v>
      </c>
      <c r="L888" s="58"/>
      <c r="M888" s="168"/>
      <c r="N888" s="168"/>
      <c r="O888" s="168">
        <f t="shared" si="163"/>
        <v>0</v>
      </c>
      <c r="P888" s="59"/>
      <c r="Q888" s="169">
        <f t="shared" si="164"/>
        <v>227348</v>
      </c>
      <c r="R888" s="169">
        <f t="shared" si="165"/>
        <v>0</v>
      </c>
      <c r="S888" s="169">
        <f t="shared" si="166"/>
        <v>227348</v>
      </c>
    </row>
    <row r="889" spans="2:19" x14ac:dyDescent="0.2">
      <c r="B889" s="48">
        <f t="shared" si="161"/>
        <v>434</v>
      </c>
      <c r="C889" s="9"/>
      <c r="D889" s="9"/>
      <c r="E889" s="9"/>
      <c r="F889" s="61" t="s">
        <v>159</v>
      </c>
      <c r="G889" s="8">
        <v>610</v>
      </c>
      <c r="H889" s="9" t="s">
        <v>132</v>
      </c>
      <c r="I889" s="62">
        <f>22400+2000+3000+129500</f>
        <v>156900</v>
      </c>
      <c r="J889" s="62"/>
      <c r="K889" s="62">
        <f t="shared" si="162"/>
        <v>156900</v>
      </c>
      <c r="L889" s="62"/>
      <c r="M889" s="62"/>
      <c r="N889" s="62"/>
      <c r="O889" s="62">
        <f t="shared" si="163"/>
        <v>0</v>
      </c>
      <c r="P889" s="63"/>
      <c r="Q889" s="64">
        <f t="shared" si="164"/>
        <v>156900</v>
      </c>
      <c r="R889" s="64">
        <f t="shared" si="165"/>
        <v>0</v>
      </c>
      <c r="S889" s="64">
        <f t="shared" si="166"/>
        <v>156900</v>
      </c>
    </row>
    <row r="890" spans="2:19" x14ac:dyDescent="0.2">
      <c r="B890" s="48">
        <f t="shared" ref="B890:B953" si="167">B889+1</f>
        <v>435</v>
      </c>
      <c r="C890" s="9"/>
      <c r="D890" s="9"/>
      <c r="E890" s="9"/>
      <c r="F890" s="61" t="s">
        <v>159</v>
      </c>
      <c r="G890" s="8">
        <v>620</v>
      </c>
      <c r="H890" s="9" t="s">
        <v>125</v>
      </c>
      <c r="I890" s="62">
        <f>7400+4700+15690+3130+1569+21000+2200+1250</f>
        <v>56939</v>
      </c>
      <c r="J890" s="62"/>
      <c r="K890" s="62">
        <f t="shared" si="162"/>
        <v>56939</v>
      </c>
      <c r="L890" s="62"/>
      <c r="M890" s="62"/>
      <c r="N890" s="62"/>
      <c r="O890" s="62">
        <f t="shared" si="163"/>
        <v>0</v>
      </c>
      <c r="P890" s="63"/>
      <c r="Q890" s="64">
        <f t="shared" si="164"/>
        <v>56939</v>
      </c>
      <c r="R890" s="64">
        <f t="shared" si="165"/>
        <v>0</v>
      </c>
      <c r="S890" s="64">
        <f t="shared" si="166"/>
        <v>56939</v>
      </c>
    </row>
    <row r="891" spans="2:19" x14ac:dyDescent="0.2">
      <c r="B891" s="48">
        <f t="shared" si="167"/>
        <v>436</v>
      </c>
      <c r="C891" s="9"/>
      <c r="D891" s="9"/>
      <c r="E891" s="9"/>
      <c r="F891" s="61" t="s">
        <v>159</v>
      </c>
      <c r="G891" s="8">
        <v>630</v>
      </c>
      <c r="H891" s="9" t="s">
        <v>122</v>
      </c>
      <c r="I891" s="62">
        <f>SUM(I892:I894)</f>
        <v>13509</v>
      </c>
      <c r="J891" s="62">
        <f>SUM(J892:J894)</f>
        <v>0</v>
      </c>
      <c r="K891" s="62">
        <f t="shared" si="162"/>
        <v>13509</v>
      </c>
      <c r="L891" s="62"/>
      <c r="M891" s="62"/>
      <c r="N891" s="62"/>
      <c r="O891" s="62">
        <f t="shared" si="163"/>
        <v>0</v>
      </c>
      <c r="P891" s="63"/>
      <c r="Q891" s="64">
        <f t="shared" si="164"/>
        <v>13509</v>
      </c>
      <c r="R891" s="64">
        <f t="shared" si="165"/>
        <v>0</v>
      </c>
      <c r="S891" s="64">
        <f t="shared" si="166"/>
        <v>13509</v>
      </c>
    </row>
    <row r="892" spans="2:19" x14ac:dyDescent="0.2">
      <c r="B892" s="48">
        <f t="shared" si="167"/>
        <v>437</v>
      </c>
      <c r="C892" s="11"/>
      <c r="D892" s="11"/>
      <c r="E892" s="11"/>
      <c r="F892" s="65"/>
      <c r="G892" s="10">
        <v>632</v>
      </c>
      <c r="H892" s="11" t="s">
        <v>135</v>
      </c>
      <c r="I892" s="66">
        <v>5000</v>
      </c>
      <c r="J892" s="66"/>
      <c r="K892" s="66">
        <f t="shared" si="162"/>
        <v>5000</v>
      </c>
      <c r="L892" s="66"/>
      <c r="M892" s="66"/>
      <c r="N892" s="66"/>
      <c r="O892" s="66">
        <f t="shared" si="163"/>
        <v>0</v>
      </c>
      <c r="P892" s="67"/>
      <c r="Q892" s="68">
        <f t="shared" si="164"/>
        <v>5000</v>
      </c>
      <c r="R892" s="68">
        <f t="shared" si="165"/>
        <v>0</v>
      </c>
      <c r="S892" s="68">
        <f t="shared" si="166"/>
        <v>5000</v>
      </c>
    </row>
    <row r="893" spans="2:19" s="164" customFormat="1" x14ac:dyDescent="0.2">
      <c r="B893" s="48">
        <f t="shared" si="167"/>
        <v>438</v>
      </c>
      <c r="C893" s="11"/>
      <c r="D893" s="11"/>
      <c r="E893" s="11"/>
      <c r="F893" s="65"/>
      <c r="G893" s="10">
        <v>633</v>
      </c>
      <c r="H893" s="11" t="s">
        <v>126</v>
      </c>
      <c r="I893" s="66">
        <f>3500+1500-711</f>
        <v>4289</v>
      </c>
      <c r="J893" s="66"/>
      <c r="K893" s="66">
        <f t="shared" si="162"/>
        <v>4289</v>
      </c>
      <c r="L893" s="66"/>
      <c r="M893" s="66"/>
      <c r="N893" s="66"/>
      <c r="O893" s="66">
        <f t="shared" si="163"/>
        <v>0</v>
      </c>
      <c r="P893" s="67"/>
      <c r="Q893" s="68">
        <f t="shared" si="164"/>
        <v>4289</v>
      </c>
      <c r="R893" s="68">
        <f t="shared" si="165"/>
        <v>0</v>
      </c>
      <c r="S893" s="68">
        <f t="shared" si="166"/>
        <v>4289</v>
      </c>
    </row>
    <row r="894" spans="2:19" x14ac:dyDescent="0.2">
      <c r="B894" s="48">
        <f t="shared" si="167"/>
        <v>439</v>
      </c>
      <c r="C894" s="11"/>
      <c r="D894" s="11"/>
      <c r="E894" s="11"/>
      <c r="F894" s="65"/>
      <c r="G894" s="10">
        <v>637</v>
      </c>
      <c r="H894" s="11" t="s">
        <v>123</v>
      </c>
      <c r="I894" s="66">
        <f>1500+1520+1200</f>
        <v>4220</v>
      </c>
      <c r="J894" s="66"/>
      <c r="K894" s="66">
        <f t="shared" si="162"/>
        <v>4220</v>
      </c>
      <c r="L894" s="66"/>
      <c r="M894" s="66"/>
      <c r="N894" s="66"/>
      <c r="O894" s="66">
        <f t="shared" si="163"/>
        <v>0</v>
      </c>
      <c r="P894" s="67"/>
      <c r="Q894" s="68">
        <f t="shared" si="164"/>
        <v>4220</v>
      </c>
      <c r="R894" s="68">
        <f t="shared" si="165"/>
        <v>0</v>
      </c>
      <c r="S894" s="68">
        <f t="shared" si="166"/>
        <v>4220</v>
      </c>
    </row>
    <row r="895" spans="2:19" ht="15" x14ac:dyDescent="0.25">
      <c r="B895" s="48">
        <f t="shared" si="167"/>
        <v>440</v>
      </c>
      <c r="C895" s="166"/>
      <c r="D895" s="166"/>
      <c r="E895" s="166">
        <v>8</v>
      </c>
      <c r="F895" s="167"/>
      <c r="G895" s="167"/>
      <c r="H895" s="166" t="s">
        <v>6</v>
      </c>
      <c r="I895" s="168">
        <f>I896+I897+I898+I903</f>
        <v>452377</v>
      </c>
      <c r="J895" s="168">
        <f>J896+J897+J898+J903</f>
        <v>0</v>
      </c>
      <c r="K895" s="168">
        <f t="shared" si="162"/>
        <v>452377</v>
      </c>
      <c r="L895" s="58"/>
      <c r="M895" s="168"/>
      <c r="N895" s="168"/>
      <c r="O895" s="168">
        <f t="shared" si="163"/>
        <v>0</v>
      </c>
      <c r="P895" s="59"/>
      <c r="Q895" s="169">
        <f t="shared" si="164"/>
        <v>452377</v>
      </c>
      <c r="R895" s="169">
        <f t="shared" si="165"/>
        <v>0</v>
      </c>
      <c r="S895" s="169">
        <f t="shared" si="166"/>
        <v>452377</v>
      </c>
    </row>
    <row r="896" spans="2:19" x14ac:dyDescent="0.2">
      <c r="B896" s="48">
        <f t="shared" si="167"/>
        <v>441</v>
      </c>
      <c r="C896" s="9"/>
      <c r="D896" s="9"/>
      <c r="E896" s="9"/>
      <c r="F896" s="61" t="s">
        <v>159</v>
      </c>
      <c r="G896" s="8">
        <v>610</v>
      </c>
      <c r="H896" s="9" t="s">
        <v>132</v>
      </c>
      <c r="I896" s="62">
        <v>284820</v>
      </c>
      <c r="J896" s="62"/>
      <c r="K896" s="62">
        <f t="shared" si="162"/>
        <v>284820</v>
      </c>
      <c r="L896" s="62"/>
      <c r="M896" s="62"/>
      <c r="N896" s="62"/>
      <c r="O896" s="62">
        <f t="shared" si="163"/>
        <v>0</v>
      </c>
      <c r="P896" s="63"/>
      <c r="Q896" s="64">
        <f t="shared" si="164"/>
        <v>284820</v>
      </c>
      <c r="R896" s="64">
        <f t="shared" si="165"/>
        <v>0</v>
      </c>
      <c r="S896" s="64">
        <f t="shared" si="166"/>
        <v>284820</v>
      </c>
    </row>
    <row r="897" spans="2:19" x14ac:dyDescent="0.2">
      <c r="B897" s="48">
        <f t="shared" si="167"/>
        <v>442</v>
      </c>
      <c r="C897" s="9"/>
      <c r="D897" s="9"/>
      <c r="E897" s="9"/>
      <c r="F897" s="61" t="s">
        <v>159</v>
      </c>
      <c r="G897" s="8">
        <v>620</v>
      </c>
      <c r="H897" s="9" t="s">
        <v>125</v>
      </c>
      <c r="I897" s="62">
        <v>101250</v>
      </c>
      <c r="J897" s="62"/>
      <c r="K897" s="62">
        <f t="shared" si="162"/>
        <v>101250</v>
      </c>
      <c r="L897" s="62"/>
      <c r="M897" s="62"/>
      <c r="N897" s="62"/>
      <c r="O897" s="62">
        <f t="shared" si="163"/>
        <v>0</v>
      </c>
      <c r="P897" s="63"/>
      <c r="Q897" s="64">
        <f t="shared" si="164"/>
        <v>101250</v>
      </c>
      <c r="R897" s="64">
        <f t="shared" si="165"/>
        <v>0</v>
      </c>
      <c r="S897" s="64">
        <f t="shared" si="166"/>
        <v>101250</v>
      </c>
    </row>
    <row r="898" spans="2:19" x14ac:dyDescent="0.2">
      <c r="B898" s="48">
        <f t="shared" si="167"/>
        <v>443</v>
      </c>
      <c r="C898" s="9"/>
      <c r="D898" s="9"/>
      <c r="E898" s="9"/>
      <c r="F898" s="61" t="s">
        <v>159</v>
      </c>
      <c r="G898" s="8">
        <v>630</v>
      </c>
      <c r="H898" s="9" t="s">
        <v>122</v>
      </c>
      <c r="I898" s="62">
        <f>SUM(I899:I902)</f>
        <v>60667</v>
      </c>
      <c r="J898" s="62">
        <f>SUM(J899:J902)</f>
        <v>0</v>
      </c>
      <c r="K898" s="62">
        <f t="shared" si="162"/>
        <v>60667</v>
      </c>
      <c r="L898" s="62"/>
      <c r="M898" s="62"/>
      <c r="N898" s="62"/>
      <c r="O898" s="62">
        <f t="shared" si="163"/>
        <v>0</v>
      </c>
      <c r="P898" s="63"/>
      <c r="Q898" s="64">
        <f t="shared" si="164"/>
        <v>60667</v>
      </c>
      <c r="R898" s="64">
        <f t="shared" si="165"/>
        <v>0</v>
      </c>
      <c r="S898" s="64">
        <f t="shared" si="166"/>
        <v>60667</v>
      </c>
    </row>
    <row r="899" spans="2:19" x14ac:dyDescent="0.2">
      <c r="B899" s="48">
        <f t="shared" si="167"/>
        <v>444</v>
      </c>
      <c r="C899" s="11"/>
      <c r="D899" s="11"/>
      <c r="E899" s="11"/>
      <c r="F899" s="65"/>
      <c r="G899" s="10">
        <v>632</v>
      </c>
      <c r="H899" s="11" t="s">
        <v>135</v>
      </c>
      <c r="I899" s="66">
        <f>50300-3193</f>
        <v>47107</v>
      </c>
      <c r="J899" s="66"/>
      <c r="K899" s="66">
        <f t="shared" si="162"/>
        <v>47107</v>
      </c>
      <c r="L899" s="66"/>
      <c r="M899" s="66"/>
      <c r="N899" s="66"/>
      <c r="O899" s="66">
        <f t="shared" si="163"/>
        <v>0</v>
      </c>
      <c r="P899" s="67"/>
      <c r="Q899" s="68">
        <f t="shared" si="164"/>
        <v>47107</v>
      </c>
      <c r="R899" s="68">
        <f t="shared" si="165"/>
        <v>0</v>
      </c>
      <c r="S899" s="68">
        <f t="shared" si="166"/>
        <v>47107</v>
      </c>
    </row>
    <row r="900" spans="2:19" x14ac:dyDescent="0.2">
      <c r="B900" s="48">
        <f t="shared" si="167"/>
        <v>445</v>
      </c>
      <c r="C900" s="11"/>
      <c r="D900" s="11"/>
      <c r="E900" s="11"/>
      <c r="F900" s="65"/>
      <c r="G900" s="10">
        <v>633</v>
      </c>
      <c r="H900" s="11" t="s">
        <v>126</v>
      </c>
      <c r="I900" s="66">
        <v>2700</v>
      </c>
      <c r="J900" s="66"/>
      <c r="K900" s="66">
        <f t="shared" si="162"/>
        <v>2700</v>
      </c>
      <c r="L900" s="66"/>
      <c r="M900" s="66"/>
      <c r="N900" s="66"/>
      <c r="O900" s="66">
        <f t="shared" si="163"/>
        <v>0</v>
      </c>
      <c r="P900" s="67"/>
      <c r="Q900" s="68">
        <f t="shared" si="164"/>
        <v>2700</v>
      </c>
      <c r="R900" s="68">
        <f t="shared" si="165"/>
        <v>0</v>
      </c>
      <c r="S900" s="68">
        <f t="shared" si="166"/>
        <v>2700</v>
      </c>
    </row>
    <row r="901" spans="2:19" x14ac:dyDescent="0.2">
      <c r="B901" s="48">
        <f t="shared" si="167"/>
        <v>446</v>
      </c>
      <c r="C901" s="11"/>
      <c r="D901" s="11"/>
      <c r="E901" s="11"/>
      <c r="F901" s="65"/>
      <c r="G901" s="10">
        <v>635</v>
      </c>
      <c r="H901" s="11" t="s">
        <v>134</v>
      </c>
      <c r="I901" s="66">
        <v>1000</v>
      </c>
      <c r="J901" s="66"/>
      <c r="K901" s="66">
        <f t="shared" si="162"/>
        <v>1000</v>
      </c>
      <c r="L901" s="66"/>
      <c r="M901" s="66"/>
      <c r="N901" s="66"/>
      <c r="O901" s="66">
        <f t="shared" si="163"/>
        <v>0</v>
      </c>
      <c r="P901" s="67"/>
      <c r="Q901" s="68">
        <f t="shared" si="164"/>
        <v>1000</v>
      </c>
      <c r="R901" s="68">
        <f t="shared" si="165"/>
        <v>0</v>
      </c>
      <c r="S901" s="68">
        <f t="shared" si="166"/>
        <v>1000</v>
      </c>
    </row>
    <row r="902" spans="2:19" x14ac:dyDescent="0.2">
      <c r="B902" s="48">
        <f t="shared" si="167"/>
        <v>447</v>
      </c>
      <c r="C902" s="11"/>
      <c r="D902" s="11"/>
      <c r="E902" s="11"/>
      <c r="F902" s="65"/>
      <c r="G902" s="10">
        <v>637</v>
      </c>
      <c r="H902" s="11" t="s">
        <v>123</v>
      </c>
      <c r="I902" s="66">
        <v>9860</v>
      </c>
      <c r="J902" s="66"/>
      <c r="K902" s="66">
        <f t="shared" si="162"/>
        <v>9860</v>
      </c>
      <c r="L902" s="66"/>
      <c r="M902" s="66"/>
      <c r="N902" s="66"/>
      <c r="O902" s="66">
        <f t="shared" si="163"/>
        <v>0</v>
      </c>
      <c r="P902" s="67"/>
      <c r="Q902" s="68">
        <f t="shared" si="164"/>
        <v>9860</v>
      </c>
      <c r="R902" s="68">
        <f t="shared" si="165"/>
        <v>0</v>
      </c>
      <c r="S902" s="68">
        <f t="shared" si="166"/>
        <v>9860</v>
      </c>
    </row>
    <row r="903" spans="2:19" x14ac:dyDescent="0.2">
      <c r="B903" s="48">
        <f t="shared" si="167"/>
        <v>448</v>
      </c>
      <c r="C903" s="9"/>
      <c r="D903" s="9"/>
      <c r="E903" s="9"/>
      <c r="F903" s="61" t="s">
        <v>159</v>
      </c>
      <c r="G903" s="8">
        <v>640</v>
      </c>
      <c r="H903" s="9" t="s">
        <v>130</v>
      </c>
      <c r="I903" s="62">
        <v>5640</v>
      </c>
      <c r="J903" s="62"/>
      <c r="K903" s="62">
        <f t="shared" si="162"/>
        <v>5640</v>
      </c>
      <c r="L903" s="62"/>
      <c r="M903" s="62"/>
      <c r="N903" s="62"/>
      <c r="O903" s="62">
        <f t="shared" si="163"/>
        <v>0</v>
      </c>
      <c r="P903" s="63"/>
      <c r="Q903" s="64">
        <f t="shared" si="164"/>
        <v>5640</v>
      </c>
      <c r="R903" s="64">
        <f t="shared" si="165"/>
        <v>0</v>
      </c>
      <c r="S903" s="64">
        <f t="shared" si="166"/>
        <v>5640</v>
      </c>
    </row>
    <row r="904" spans="2:19" ht="15" x14ac:dyDescent="0.25">
      <c r="B904" s="48">
        <f t="shared" si="167"/>
        <v>449</v>
      </c>
      <c r="C904" s="166"/>
      <c r="D904" s="166"/>
      <c r="E904" s="166">
        <v>9</v>
      </c>
      <c r="F904" s="167"/>
      <c r="G904" s="167"/>
      <c r="H904" s="166" t="s">
        <v>4</v>
      </c>
      <c r="I904" s="168">
        <f>I905+I906+I907+I912</f>
        <v>309305</v>
      </c>
      <c r="J904" s="168">
        <f>J905+J906+J907+J912</f>
        <v>0</v>
      </c>
      <c r="K904" s="168">
        <f t="shared" si="162"/>
        <v>309305</v>
      </c>
      <c r="L904" s="58"/>
      <c r="M904" s="168"/>
      <c r="N904" s="168"/>
      <c r="O904" s="168">
        <f t="shared" si="163"/>
        <v>0</v>
      </c>
      <c r="P904" s="59"/>
      <c r="Q904" s="169">
        <f t="shared" si="164"/>
        <v>309305</v>
      </c>
      <c r="R904" s="169">
        <f t="shared" si="165"/>
        <v>0</v>
      </c>
      <c r="S904" s="169">
        <f t="shared" si="166"/>
        <v>309305</v>
      </c>
    </row>
    <row r="905" spans="2:19" x14ac:dyDescent="0.2">
      <c r="B905" s="48">
        <f t="shared" si="167"/>
        <v>450</v>
      </c>
      <c r="C905" s="9"/>
      <c r="D905" s="9"/>
      <c r="E905" s="9"/>
      <c r="F905" s="61" t="s">
        <v>159</v>
      </c>
      <c r="G905" s="8">
        <v>610</v>
      </c>
      <c r="H905" s="9" t="s">
        <v>132</v>
      </c>
      <c r="I905" s="62">
        <v>201975</v>
      </c>
      <c r="J905" s="62"/>
      <c r="K905" s="62">
        <f t="shared" si="162"/>
        <v>201975</v>
      </c>
      <c r="L905" s="62"/>
      <c r="M905" s="62"/>
      <c r="N905" s="62"/>
      <c r="O905" s="62">
        <f t="shared" si="163"/>
        <v>0</v>
      </c>
      <c r="P905" s="63"/>
      <c r="Q905" s="64">
        <f t="shared" si="164"/>
        <v>201975</v>
      </c>
      <c r="R905" s="64">
        <f t="shared" si="165"/>
        <v>0</v>
      </c>
      <c r="S905" s="64">
        <f t="shared" si="166"/>
        <v>201975</v>
      </c>
    </row>
    <row r="906" spans="2:19" s="164" customFormat="1" x14ac:dyDescent="0.2">
      <c r="B906" s="48">
        <f t="shared" si="167"/>
        <v>451</v>
      </c>
      <c r="C906" s="9"/>
      <c r="D906" s="9"/>
      <c r="E906" s="9"/>
      <c r="F906" s="61" t="s">
        <v>159</v>
      </c>
      <c r="G906" s="8">
        <v>620</v>
      </c>
      <c r="H906" s="9" t="s">
        <v>125</v>
      </c>
      <c r="I906" s="62">
        <v>71635</v>
      </c>
      <c r="J906" s="62"/>
      <c r="K906" s="62">
        <f t="shared" si="162"/>
        <v>71635</v>
      </c>
      <c r="L906" s="62"/>
      <c r="M906" s="62"/>
      <c r="N906" s="62"/>
      <c r="O906" s="62">
        <f t="shared" si="163"/>
        <v>0</v>
      </c>
      <c r="P906" s="63"/>
      <c r="Q906" s="64">
        <f t="shared" si="164"/>
        <v>71635</v>
      </c>
      <c r="R906" s="64">
        <f t="shared" si="165"/>
        <v>0</v>
      </c>
      <c r="S906" s="64">
        <f t="shared" si="166"/>
        <v>71635</v>
      </c>
    </row>
    <row r="907" spans="2:19" x14ac:dyDescent="0.2">
      <c r="B907" s="48">
        <f t="shared" si="167"/>
        <v>452</v>
      </c>
      <c r="C907" s="9"/>
      <c r="D907" s="9"/>
      <c r="E907" s="9"/>
      <c r="F907" s="61" t="s">
        <v>159</v>
      </c>
      <c r="G907" s="8">
        <v>630</v>
      </c>
      <c r="H907" s="9" t="s">
        <v>122</v>
      </c>
      <c r="I907" s="62">
        <f>SUM(I908:I911)</f>
        <v>32395</v>
      </c>
      <c r="J907" s="62">
        <f>SUM(J908:J911)</f>
        <v>0</v>
      </c>
      <c r="K907" s="62">
        <f t="shared" si="162"/>
        <v>32395</v>
      </c>
      <c r="L907" s="62"/>
      <c r="M907" s="62"/>
      <c r="N907" s="62"/>
      <c r="O907" s="62">
        <f t="shared" si="163"/>
        <v>0</v>
      </c>
      <c r="P907" s="63"/>
      <c r="Q907" s="64">
        <f t="shared" si="164"/>
        <v>32395</v>
      </c>
      <c r="R907" s="64">
        <f t="shared" si="165"/>
        <v>0</v>
      </c>
      <c r="S907" s="64">
        <f t="shared" si="166"/>
        <v>32395</v>
      </c>
    </row>
    <row r="908" spans="2:19" x14ac:dyDescent="0.2">
      <c r="B908" s="48">
        <f t="shared" si="167"/>
        <v>453</v>
      </c>
      <c r="C908" s="11"/>
      <c r="D908" s="11"/>
      <c r="E908" s="11"/>
      <c r="F908" s="65"/>
      <c r="G908" s="10">
        <v>632</v>
      </c>
      <c r="H908" s="11" t="s">
        <v>135</v>
      </c>
      <c r="I908" s="66">
        <v>16000</v>
      </c>
      <c r="J908" s="66"/>
      <c r="K908" s="66">
        <f t="shared" si="162"/>
        <v>16000</v>
      </c>
      <c r="L908" s="66"/>
      <c r="M908" s="66"/>
      <c r="N908" s="66"/>
      <c r="O908" s="66">
        <f t="shared" si="163"/>
        <v>0</v>
      </c>
      <c r="P908" s="67"/>
      <c r="Q908" s="68">
        <f t="shared" si="164"/>
        <v>16000</v>
      </c>
      <c r="R908" s="68">
        <f t="shared" si="165"/>
        <v>0</v>
      </c>
      <c r="S908" s="68">
        <f t="shared" si="166"/>
        <v>16000</v>
      </c>
    </row>
    <row r="909" spans="2:19" x14ac:dyDescent="0.2">
      <c r="B909" s="48">
        <f t="shared" si="167"/>
        <v>454</v>
      </c>
      <c r="C909" s="11"/>
      <c r="D909" s="11"/>
      <c r="E909" s="11"/>
      <c r="F909" s="65"/>
      <c r="G909" s="10">
        <v>633</v>
      </c>
      <c r="H909" s="11" t="s">
        <v>126</v>
      </c>
      <c r="I909" s="66">
        <v>2600</v>
      </c>
      <c r="J909" s="66"/>
      <c r="K909" s="66">
        <f t="shared" si="162"/>
        <v>2600</v>
      </c>
      <c r="L909" s="66"/>
      <c r="M909" s="66"/>
      <c r="N909" s="66"/>
      <c r="O909" s="66">
        <f t="shared" si="163"/>
        <v>0</v>
      </c>
      <c r="P909" s="67"/>
      <c r="Q909" s="68">
        <f t="shared" si="164"/>
        <v>2600</v>
      </c>
      <c r="R909" s="68">
        <f t="shared" si="165"/>
        <v>0</v>
      </c>
      <c r="S909" s="68">
        <f t="shared" si="166"/>
        <v>2600</v>
      </c>
    </row>
    <row r="910" spans="2:19" x14ac:dyDescent="0.2">
      <c r="B910" s="48">
        <f t="shared" si="167"/>
        <v>455</v>
      </c>
      <c r="C910" s="11"/>
      <c r="D910" s="11"/>
      <c r="E910" s="11"/>
      <c r="F910" s="65"/>
      <c r="G910" s="10">
        <v>635</v>
      </c>
      <c r="H910" s="11" t="s">
        <v>134</v>
      </c>
      <c r="I910" s="66">
        <f>10000-1705</f>
        <v>8295</v>
      </c>
      <c r="J910" s="66"/>
      <c r="K910" s="66">
        <f t="shared" si="162"/>
        <v>8295</v>
      </c>
      <c r="L910" s="66"/>
      <c r="M910" s="66"/>
      <c r="N910" s="66"/>
      <c r="O910" s="66">
        <f t="shared" si="163"/>
        <v>0</v>
      </c>
      <c r="P910" s="67"/>
      <c r="Q910" s="68">
        <f t="shared" si="164"/>
        <v>8295</v>
      </c>
      <c r="R910" s="68">
        <f t="shared" si="165"/>
        <v>0</v>
      </c>
      <c r="S910" s="68">
        <f t="shared" si="166"/>
        <v>8295</v>
      </c>
    </row>
    <row r="911" spans="2:19" x14ac:dyDescent="0.2">
      <c r="B911" s="48">
        <f t="shared" si="167"/>
        <v>456</v>
      </c>
      <c r="C911" s="11"/>
      <c r="D911" s="11"/>
      <c r="E911" s="11"/>
      <c r="F911" s="65"/>
      <c r="G911" s="10">
        <v>637</v>
      </c>
      <c r="H911" s="11" t="s">
        <v>123</v>
      </c>
      <c r="I911" s="66">
        <v>5500</v>
      </c>
      <c r="J911" s="66"/>
      <c r="K911" s="66">
        <f t="shared" si="162"/>
        <v>5500</v>
      </c>
      <c r="L911" s="66"/>
      <c r="M911" s="66"/>
      <c r="N911" s="66"/>
      <c r="O911" s="66">
        <f t="shared" si="163"/>
        <v>0</v>
      </c>
      <c r="P911" s="67"/>
      <c r="Q911" s="68">
        <f t="shared" si="164"/>
        <v>5500</v>
      </c>
      <c r="R911" s="68">
        <f t="shared" si="165"/>
        <v>0</v>
      </c>
      <c r="S911" s="68">
        <f t="shared" si="166"/>
        <v>5500</v>
      </c>
    </row>
    <row r="912" spans="2:19" x14ac:dyDescent="0.2">
      <c r="B912" s="48">
        <f t="shared" si="167"/>
        <v>457</v>
      </c>
      <c r="C912" s="9"/>
      <c r="D912" s="9"/>
      <c r="E912" s="9"/>
      <c r="F912" s="61" t="s">
        <v>159</v>
      </c>
      <c r="G912" s="8">
        <v>640</v>
      </c>
      <c r="H912" s="9" t="s">
        <v>130</v>
      </c>
      <c r="I912" s="62">
        <v>3300</v>
      </c>
      <c r="J912" s="62"/>
      <c r="K912" s="62">
        <f t="shared" si="162"/>
        <v>3300</v>
      </c>
      <c r="L912" s="62"/>
      <c r="M912" s="62"/>
      <c r="N912" s="62"/>
      <c r="O912" s="62">
        <f t="shared" si="163"/>
        <v>0</v>
      </c>
      <c r="P912" s="63"/>
      <c r="Q912" s="64">
        <f t="shared" si="164"/>
        <v>3300</v>
      </c>
      <c r="R912" s="64">
        <f t="shared" si="165"/>
        <v>0</v>
      </c>
      <c r="S912" s="64">
        <f t="shared" si="166"/>
        <v>3300</v>
      </c>
    </row>
    <row r="913" spans="2:19" ht="15" x14ac:dyDescent="0.25">
      <c r="B913" s="48">
        <f t="shared" si="167"/>
        <v>458</v>
      </c>
      <c r="C913" s="166"/>
      <c r="D913" s="166"/>
      <c r="E913" s="166">
        <v>10</v>
      </c>
      <c r="F913" s="167"/>
      <c r="G913" s="167"/>
      <c r="H913" s="166" t="s">
        <v>0</v>
      </c>
      <c r="I913" s="168">
        <f>SUM(I914+I915+I916+I921)</f>
        <v>162216</v>
      </c>
      <c r="J913" s="168">
        <f>SUM(J914+J915+J916+J921)</f>
        <v>11100</v>
      </c>
      <c r="K913" s="168">
        <f t="shared" si="162"/>
        <v>173316</v>
      </c>
      <c r="L913" s="58"/>
      <c r="M913" s="168"/>
      <c r="N913" s="168"/>
      <c r="O913" s="168">
        <f t="shared" si="163"/>
        <v>0</v>
      </c>
      <c r="P913" s="59"/>
      <c r="Q913" s="169">
        <f t="shared" si="164"/>
        <v>162216</v>
      </c>
      <c r="R913" s="169">
        <f t="shared" si="165"/>
        <v>11100</v>
      </c>
      <c r="S913" s="169">
        <f t="shared" si="166"/>
        <v>173316</v>
      </c>
    </row>
    <row r="914" spans="2:19" x14ac:dyDescent="0.2">
      <c r="B914" s="48">
        <f t="shared" si="167"/>
        <v>459</v>
      </c>
      <c r="C914" s="9"/>
      <c r="D914" s="9"/>
      <c r="E914" s="9"/>
      <c r="F914" s="61" t="s">
        <v>159</v>
      </c>
      <c r="G914" s="8">
        <v>610</v>
      </c>
      <c r="H914" s="9" t="s">
        <v>132</v>
      </c>
      <c r="I914" s="62">
        <f>102200+6535</f>
        <v>108735</v>
      </c>
      <c r="J914" s="62">
        <v>7050</v>
      </c>
      <c r="K914" s="62">
        <f t="shared" si="162"/>
        <v>115785</v>
      </c>
      <c r="L914" s="62"/>
      <c r="M914" s="62"/>
      <c r="N914" s="62"/>
      <c r="O914" s="62">
        <f t="shared" si="163"/>
        <v>0</v>
      </c>
      <c r="P914" s="63"/>
      <c r="Q914" s="64">
        <f t="shared" si="164"/>
        <v>108735</v>
      </c>
      <c r="R914" s="64">
        <f t="shared" si="165"/>
        <v>7050</v>
      </c>
      <c r="S914" s="64">
        <f t="shared" si="166"/>
        <v>115785</v>
      </c>
    </row>
    <row r="915" spans="2:19" x14ac:dyDescent="0.2">
      <c r="B915" s="48">
        <f t="shared" si="167"/>
        <v>460</v>
      </c>
      <c r="C915" s="9"/>
      <c r="D915" s="9"/>
      <c r="E915" s="9"/>
      <c r="F915" s="61" t="s">
        <v>159</v>
      </c>
      <c r="G915" s="8">
        <v>620</v>
      </c>
      <c r="H915" s="9" t="s">
        <v>125</v>
      </c>
      <c r="I915" s="62">
        <f>36120+2350</f>
        <v>38470</v>
      </c>
      <c r="J915" s="62">
        <v>2550</v>
      </c>
      <c r="K915" s="62">
        <f t="shared" si="162"/>
        <v>41020</v>
      </c>
      <c r="L915" s="62"/>
      <c r="M915" s="62"/>
      <c r="N915" s="62"/>
      <c r="O915" s="62">
        <f t="shared" si="163"/>
        <v>0</v>
      </c>
      <c r="P915" s="63"/>
      <c r="Q915" s="64">
        <f t="shared" si="164"/>
        <v>38470</v>
      </c>
      <c r="R915" s="64">
        <f t="shared" si="165"/>
        <v>2550</v>
      </c>
      <c r="S915" s="64">
        <f t="shared" si="166"/>
        <v>41020</v>
      </c>
    </row>
    <row r="916" spans="2:19" x14ac:dyDescent="0.2">
      <c r="B916" s="48">
        <f t="shared" si="167"/>
        <v>461</v>
      </c>
      <c r="C916" s="9"/>
      <c r="D916" s="9"/>
      <c r="E916" s="9"/>
      <c r="F916" s="61" t="s">
        <v>159</v>
      </c>
      <c r="G916" s="8">
        <v>630</v>
      </c>
      <c r="H916" s="9" t="s">
        <v>122</v>
      </c>
      <c r="I916" s="62">
        <f>SUM(I917:I920)</f>
        <v>14511</v>
      </c>
      <c r="J916" s="62">
        <f>SUM(J917:J920)</f>
        <v>1500</v>
      </c>
      <c r="K916" s="62">
        <f t="shared" si="162"/>
        <v>16011</v>
      </c>
      <c r="L916" s="62"/>
      <c r="M916" s="62"/>
      <c r="N916" s="62"/>
      <c r="O916" s="62">
        <f t="shared" si="163"/>
        <v>0</v>
      </c>
      <c r="P916" s="63"/>
      <c r="Q916" s="64">
        <f t="shared" si="164"/>
        <v>14511</v>
      </c>
      <c r="R916" s="64">
        <f t="shared" si="165"/>
        <v>1500</v>
      </c>
      <c r="S916" s="64">
        <f t="shared" si="166"/>
        <v>16011</v>
      </c>
    </row>
    <row r="917" spans="2:19" x14ac:dyDescent="0.2">
      <c r="B917" s="48">
        <f t="shared" si="167"/>
        <v>462</v>
      </c>
      <c r="C917" s="11"/>
      <c r="D917" s="11"/>
      <c r="E917" s="11"/>
      <c r="F917" s="65"/>
      <c r="G917" s="10">
        <v>632</v>
      </c>
      <c r="H917" s="11" t="s">
        <v>135</v>
      </c>
      <c r="I917" s="66">
        <v>3800</v>
      </c>
      <c r="J917" s="66"/>
      <c r="K917" s="66">
        <f t="shared" si="162"/>
        <v>3800</v>
      </c>
      <c r="L917" s="66"/>
      <c r="M917" s="66"/>
      <c r="N917" s="66"/>
      <c r="O917" s="66">
        <f t="shared" si="163"/>
        <v>0</v>
      </c>
      <c r="P917" s="67"/>
      <c r="Q917" s="68">
        <f t="shared" si="164"/>
        <v>3800</v>
      </c>
      <c r="R917" s="68">
        <f t="shared" si="165"/>
        <v>0</v>
      </c>
      <c r="S917" s="68">
        <f t="shared" si="166"/>
        <v>3800</v>
      </c>
    </row>
    <row r="918" spans="2:19" x14ac:dyDescent="0.2">
      <c r="B918" s="48">
        <f t="shared" si="167"/>
        <v>463</v>
      </c>
      <c r="C918" s="11"/>
      <c r="D918" s="11"/>
      <c r="E918" s="11"/>
      <c r="F918" s="65"/>
      <c r="G918" s="10">
        <v>633</v>
      </c>
      <c r="H918" s="11" t="s">
        <v>126</v>
      </c>
      <c r="I918" s="66">
        <f>8000-764</f>
        <v>7236</v>
      </c>
      <c r="J918" s="66"/>
      <c r="K918" s="66">
        <f t="shared" si="162"/>
        <v>7236</v>
      </c>
      <c r="L918" s="66"/>
      <c r="M918" s="66"/>
      <c r="N918" s="66"/>
      <c r="O918" s="66">
        <f t="shared" si="163"/>
        <v>0</v>
      </c>
      <c r="P918" s="67"/>
      <c r="Q918" s="68">
        <f t="shared" si="164"/>
        <v>7236</v>
      </c>
      <c r="R918" s="68">
        <f t="shared" si="165"/>
        <v>0</v>
      </c>
      <c r="S918" s="68">
        <f t="shared" si="166"/>
        <v>7236</v>
      </c>
    </row>
    <row r="919" spans="2:19" x14ac:dyDescent="0.2">
      <c r="B919" s="48">
        <f t="shared" si="167"/>
        <v>464</v>
      </c>
      <c r="C919" s="11"/>
      <c r="D919" s="11"/>
      <c r="E919" s="11"/>
      <c r="F919" s="65"/>
      <c r="G919" s="10">
        <v>635</v>
      </c>
      <c r="H919" s="11" t="s">
        <v>134</v>
      </c>
      <c r="I919" s="66">
        <v>1000</v>
      </c>
      <c r="J919" s="66"/>
      <c r="K919" s="66">
        <f t="shared" si="162"/>
        <v>1000</v>
      </c>
      <c r="L919" s="66"/>
      <c r="M919" s="66"/>
      <c r="N919" s="66"/>
      <c r="O919" s="66">
        <f t="shared" si="163"/>
        <v>0</v>
      </c>
      <c r="P919" s="67"/>
      <c r="Q919" s="68">
        <f t="shared" si="164"/>
        <v>1000</v>
      </c>
      <c r="R919" s="68">
        <f t="shared" si="165"/>
        <v>0</v>
      </c>
      <c r="S919" s="68">
        <f t="shared" si="166"/>
        <v>1000</v>
      </c>
    </row>
    <row r="920" spans="2:19" x14ac:dyDescent="0.2">
      <c r="B920" s="48">
        <f t="shared" si="167"/>
        <v>465</v>
      </c>
      <c r="C920" s="11"/>
      <c r="D920" s="11"/>
      <c r="E920" s="11"/>
      <c r="F920" s="65"/>
      <c r="G920" s="10">
        <v>637</v>
      </c>
      <c r="H920" s="11" t="s">
        <v>123</v>
      </c>
      <c r="I920" s="66">
        <v>2475</v>
      </c>
      <c r="J920" s="66">
        <v>1500</v>
      </c>
      <c r="K920" s="66">
        <f t="shared" si="162"/>
        <v>3975</v>
      </c>
      <c r="L920" s="66"/>
      <c r="M920" s="66"/>
      <c r="N920" s="66"/>
      <c r="O920" s="66">
        <f t="shared" si="163"/>
        <v>0</v>
      </c>
      <c r="P920" s="67"/>
      <c r="Q920" s="68">
        <f t="shared" si="164"/>
        <v>2475</v>
      </c>
      <c r="R920" s="68">
        <f t="shared" si="165"/>
        <v>1500</v>
      </c>
      <c r="S920" s="68">
        <f t="shared" si="166"/>
        <v>3975</v>
      </c>
    </row>
    <row r="921" spans="2:19" x14ac:dyDescent="0.2">
      <c r="B921" s="48">
        <f t="shared" si="167"/>
        <v>466</v>
      </c>
      <c r="C921" s="9"/>
      <c r="D921" s="9"/>
      <c r="E921" s="9"/>
      <c r="F921" s="61" t="s">
        <v>159</v>
      </c>
      <c r="G921" s="8">
        <v>640</v>
      </c>
      <c r="H921" s="9" t="s">
        <v>130</v>
      </c>
      <c r="I921" s="62">
        <v>500</v>
      </c>
      <c r="J921" s="62"/>
      <c r="K921" s="62">
        <f t="shared" si="162"/>
        <v>500</v>
      </c>
      <c r="L921" s="62"/>
      <c r="M921" s="62"/>
      <c r="N921" s="62"/>
      <c r="O921" s="62">
        <f t="shared" si="163"/>
        <v>0</v>
      </c>
      <c r="P921" s="63"/>
      <c r="Q921" s="64">
        <f t="shared" si="164"/>
        <v>500</v>
      </c>
      <c r="R921" s="64">
        <f t="shared" si="165"/>
        <v>0</v>
      </c>
      <c r="S921" s="64">
        <f t="shared" si="166"/>
        <v>500</v>
      </c>
    </row>
    <row r="922" spans="2:19" ht="15" x14ac:dyDescent="0.25">
      <c r="B922" s="48">
        <f t="shared" si="167"/>
        <v>467</v>
      </c>
      <c r="C922" s="166"/>
      <c r="D922" s="166"/>
      <c r="E922" s="166">
        <v>11</v>
      </c>
      <c r="F922" s="167"/>
      <c r="G922" s="167"/>
      <c r="H922" s="166" t="s">
        <v>7</v>
      </c>
      <c r="I922" s="168">
        <f>I923+I924+I925+I930</f>
        <v>387567</v>
      </c>
      <c r="J922" s="168">
        <f>J923+J924+J925+J930</f>
        <v>0</v>
      </c>
      <c r="K922" s="168">
        <f t="shared" si="162"/>
        <v>387567</v>
      </c>
      <c r="L922" s="58"/>
      <c r="M922" s="168"/>
      <c r="N922" s="168"/>
      <c r="O922" s="168">
        <f t="shared" si="163"/>
        <v>0</v>
      </c>
      <c r="P922" s="59"/>
      <c r="Q922" s="169">
        <f t="shared" si="164"/>
        <v>387567</v>
      </c>
      <c r="R922" s="169">
        <f t="shared" si="165"/>
        <v>0</v>
      </c>
      <c r="S922" s="169">
        <f t="shared" si="166"/>
        <v>387567</v>
      </c>
    </row>
    <row r="923" spans="2:19" x14ac:dyDescent="0.2">
      <c r="B923" s="48">
        <f t="shared" si="167"/>
        <v>468</v>
      </c>
      <c r="C923" s="9"/>
      <c r="D923" s="9"/>
      <c r="E923" s="9"/>
      <c r="F923" s="61" t="s">
        <v>159</v>
      </c>
      <c r="G923" s="8">
        <v>610</v>
      </c>
      <c r="H923" s="9" t="s">
        <v>132</v>
      </c>
      <c r="I923" s="62">
        <v>252970</v>
      </c>
      <c r="J923" s="62"/>
      <c r="K923" s="62">
        <f t="shared" si="162"/>
        <v>252970</v>
      </c>
      <c r="L923" s="62"/>
      <c r="M923" s="62"/>
      <c r="N923" s="62"/>
      <c r="O923" s="62">
        <f t="shared" si="163"/>
        <v>0</v>
      </c>
      <c r="P923" s="63"/>
      <c r="Q923" s="64">
        <f t="shared" si="164"/>
        <v>252970</v>
      </c>
      <c r="R923" s="64">
        <f t="shared" si="165"/>
        <v>0</v>
      </c>
      <c r="S923" s="64">
        <f t="shared" si="166"/>
        <v>252970</v>
      </c>
    </row>
    <row r="924" spans="2:19" x14ac:dyDescent="0.2">
      <c r="B924" s="48">
        <f t="shared" si="167"/>
        <v>469</v>
      </c>
      <c r="C924" s="9"/>
      <c r="D924" s="9"/>
      <c r="E924" s="9"/>
      <c r="F924" s="61" t="s">
        <v>159</v>
      </c>
      <c r="G924" s="8">
        <v>620</v>
      </c>
      <c r="H924" s="9" t="s">
        <v>125</v>
      </c>
      <c r="I924" s="62">
        <v>95435</v>
      </c>
      <c r="J924" s="62"/>
      <c r="K924" s="62">
        <f t="shared" si="162"/>
        <v>95435</v>
      </c>
      <c r="L924" s="62"/>
      <c r="M924" s="62"/>
      <c r="N924" s="62"/>
      <c r="O924" s="62">
        <f t="shared" si="163"/>
        <v>0</v>
      </c>
      <c r="P924" s="63"/>
      <c r="Q924" s="64">
        <f t="shared" si="164"/>
        <v>95435</v>
      </c>
      <c r="R924" s="64">
        <f t="shared" si="165"/>
        <v>0</v>
      </c>
      <c r="S924" s="64">
        <f t="shared" si="166"/>
        <v>95435</v>
      </c>
    </row>
    <row r="925" spans="2:19" x14ac:dyDescent="0.2">
      <c r="B925" s="48">
        <f t="shared" si="167"/>
        <v>470</v>
      </c>
      <c r="C925" s="9"/>
      <c r="D925" s="9"/>
      <c r="E925" s="9"/>
      <c r="F925" s="61" t="s">
        <v>159</v>
      </c>
      <c r="G925" s="8">
        <v>630</v>
      </c>
      <c r="H925" s="9" t="s">
        <v>122</v>
      </c>
      <c r="I925" s="62">
        <f>SUM(I926:I929)</f>
        <v>34162</v>
      </c>
      <c r="J925" s="62">
        <f>SUM(J926:J929)</f>
        <v>0</v>
      </c>
      <c r="K925" s="62">
        <f t="shared" si="162"/>
        <v>34162</v>
      </c>
      <c r="L925" s="62"/>
      <c r="M925" s="62"/>
      <c r="N925" s="62"/>
      <c r="O925" s="62">
        <f t="shared" si="163"/>
        <v>0</v>
      </c>
      <c r="P925" s="63"/>
      <c r="Q925" s="64">
        <f t="shared" si="164"/>
        <v>34162</v>
      </c>
      <c r="R925" s="64">
        <f t="shared" si="165"/>
        <v>0</v>
      </c>
      <c r="S925" s="64">
        <f t="shared" si="166"/>
        <v>34162</v>
      </c>
    </row>
    <row r="926" spans="2:19" x14ac:dyDescent="0.2">
      <c r="B926" s="48">
        <f t="shared" si="167"/>
        <v>471</v>
      </c>
      <c r="C926" s="11"/>
      <c r="D926" s="11"/>
      <c r="E926" s="11"/>
      <c r="F926" s="65"/>
      <c r="G926" s="10">
        <v>632</v>
      </c>
      <c r="H926" s="11" t="s">
        <v>135</v>
      </c>
      <c r="I926" s="66">
        <v>16100</v>
      </c>
      <c r="J926" s="66"/>
      <c r="K926" s="66">
        <f t="shared" si="162"/>
        <v>16100</v>
      </c>
      <c r="L926" s="66"/>
      <c r="M926" s="66"/>
      <c r="N926" s="66"/>
      <c r="O926" s="66">
        <f t="shared" si="163"/>
        <v>0</v>
      </c>
      <c r="P926" s="67"/>
      <c r="Q926" s="68">
        <f t="shared" si="164"/>
        <v>16100</v>
      </c>
      <c r="R926" s="68">
        <f t="shared" si="165"/>
        <v>0</v>
      </c>
      <c r="S926" s="68">
        <f t="shared" si="166"/>
        <v>16100</v>
      </c>
    </row>
    <row r="927" spans="2:19" x14ac:dyDescent="0.2">
      <c r="B927" s="48">
        <f t="shared" si="167"/>
        <v>472</v>
      </c>
      <c r="C927" s="11"/>
      <c r="D927" s="11"/>
      <c r="E927" s="11"/>
      <c r="F927" s="65"/>
      <c r="G927" s="10">
        <v>633</v>
      </c>
      <c r="H927" s="11" t="s">
        <v>126</v>
      </c>
      <c r="I927" s="66">
        <f>7260-1798</f>
        <v>5462</v>
      </c>
      <c r="J927" s="66"/>
      <c r="K927" s="66">
        <f t="shared" si="162"/>
        <v>5462</v>
      </c>
      <c r="L927" s="66"/>
      <c r="M927" s="66"/>
      <c r="N927" s="66"/>
      <c r="O927" s="66">
        <f t="shared" si="163"/>
        <v>0</v>
      </c>
      <c r="P927" s="67"/>
      <c r="Q927" s="68">
        <f t="shared" si="164"/>
        <v>5462</v>
      </c>
      <c r="R927" s="68">
        <f t="shared" si="165"/>
        <v>0</v>
      </c>
      <c r="S927" s="68">
        <f t="shared" si="166"/>
        <v>5462</v>
      </c>
    </row>
    <row r="928" spans="2:19" x14ac:dyDescent="0.2">
      <c r="B928" s="48">
        <f t="shared" si="167"/>
        <v>473</v>
      </c>
      <c r="C928" s="11"/>
      <c r="D928" s="11"/>
      <c r="E928" s="11"/>
      <c r="F928" s="65"/>
      <c r="G928" s="10">
        <v>635</v>
      </c>
      <c r="H928" s="11" t="s">
        <v>134</v>
      </c>
      <c r="I928" s="66">
        <v>3000</v>
      </c>
      <c r="J928" s="66"/>
      <c r="K928" s="66">
        <f t="shared" ref="K928:K996" si="168">I928+J928</f>
        <v>3000</v>
      </c>
      <c r="L928" s="66"/>
      <c r="M928" s="66"/>
      <c r="N928" s="66"/>
      <c r="O928" s="66">
        <f t="shared" ref="O928:O996" si="169">M928+N928</f>
        <v>0</v>
      </c>
      <c r="P928" s="67"/>
      <c r="Q928" s="68">
        <f t="shared" si="164"/>
        <v>3000</v>
      </c>
      <c r="R928" s="68">
        <f t="shared" si="165"/>
        <v>0</v>
      </c>
      <c r="S928" s="68">
        <f t="shared" si="166"/>
        <v>3000</v>
      </c>
    </row>
    <row r="929" spans="2:19" x14ac:dyDescent="0.2">
      <c r="B929" s="48">
        <f t="shared" si="167"/>
        <v>474</v>
      </c>
      <c r="C929" s="11"/>
      <c r="D929" s="11"/>
      <c r="E929" s="11"/>
      <c r="F929" s="65"/>
      <c r="G929" s="10">
        <v>637</v>
      </c>
      <c r="H929" s="11" t="s">
        <v>123</v>
      </c>
      <c r="I929" s="66">
        <v>9600</v>
      </c>
      <c r="J929" s="66"/>
      <c r="K929" s="66">
        <f t="shared" si="168"/>
        <v>9600</v>
      </c>
      <c r="L929" s="66"/>
      <c r="M929" s="66"/>
      <c r="N929" s="66"/>
      <c r="O929" s="66">
        <f t="shared" si="169"/>
        <v>0</v>
      </c>
      <c r="P929" s="67"/>
      <c r="Q929" s="68">
        <f t="shared" si="164"/>
        <v>9600</v>
      </c>
      <c r="R929" s="68">
        <f t="shared" si="165"/>
        <v>0</v>
      </c>
      <c r="S929" s="68">
        <f t="shared" si="166"/>
        <v>9600</v>
      </c>
    </row>
    <row r="930" spans="2:19" x14ac:dyDescent="0.2">
      <c r="B930" s="48">
        <f t="shared" si="167"/>
        <v>475</v>
      </c>
      <c r="C930" s="9"/>
      <c r="D930" s="9"/>
      <c r="E930" s="9"/>
      <c r="F930" s="61" t="s">
        <v>159</v>
      </c>
      <c r="G930" s="8">
        <v>640</v>
      </c>
      <c r="H930" s="9" t="s">
        <v>130</v>
      </c>
      <c r="I930" s="62">
        <v>5000</v>
      </c>
      <c r="J930" s="62"/>
      <c r="K930" s="62">
        <f t="shared" si="168"/>
        <v>5000</v>
      </c>
      <c r="L930" s="62"/>
      <c r="M930" s="62"/>
      <c r="N930" s="62"/>
      <c r="O930" s="62">
        <f t="shared" si="169"/>
        <v>0</v>
      </c>
      <c r="P930" s="63"/>
      <c r="Q930" s="64">
        <f t="shared" si="164"/>
        <v>5000</v>
      </c>
      <c r="R930" s="64">
        <f t="shared" si="165"/>
        <v>0</v>
      </c>
      <c r="S930" s="64">
        <f t="shared" si="166"/>
        <v>5000</v>
      </c>
    </row>
    <row r="931" spans="2:19" ht="15" x14ac:dyDescent="0.25">
      <c r="B931" s="48">
        <f t="shared" si="167"/>
        <v>476</v>
      </c>
      <c r="C931" s="166"/>
      <c r="D931" s="166"/>
      <c r="E931" s="166">
        <v>12</v>
      </c>
      <c r="F931" s="167"/>
      <c r="G931" s="167"/>
      <c r="H931" s="166" t="s">
        <v>5</v>
      </c>
      <c r="I931" s="168">
        <f>I932+I933+I934+I939</f>
        <v>330400</v>
      </c>
      <c r="J931" s="168">
        <f>J932+J933+J934+J939</f>
        <v>0</v>
      </c>
      <c r="K931" s="168">
        <f t="shared" si="168"/>
        <v>330400</v>
      </c>
      <c r="L931" s="58"/>
      <c r="M931" s="168"/>
      <c r="N931" s="168"/>
      <c r="O931" s="168">
        <f t="shared" si="169"/>
        <v>0</v>
      </c>
      <c r="P931" s="59"/>
      <c r="Q931" s="169">
        <f t="shared" si="164"/>
        <v>330400</v>
      </c>
      <c r="R931" s="169">
        <f t="shared" si="165"/>
        <v>0</v>
      </c>
      <c r="S931" s="169">
        <f t="shared" si="166"/>
        <v>330400</v>
      </c>
    </row>
    <row r="932" spans="2:19" x14ac:dyDescent="0.2">
      <c r="B932" s="48">
        <f t="shared" si="167"/>
        <v>477</v>
      </c>
      <c r="C932" s="9"/>
      <c r="D932" s="9"/>
      <c r="E932" s="9"/>
      <c r="F932" s="61" t="s">
        <v>159</v>
      </c>
      <c r="G932" s="8">
        <v>610</v>
      </c>
      <c r="H932" s="9" t="s">
        <v>132</v>
      </c>
      <c r="I932" s="62">
        <v>220640</v>
      </c>
      <c r="J932" s="62"/>
      <c r="K932" s="62">
        <f t="shared" si="168"/>
        <v>220640</v>
      </c>
      <c r="L932" s="62"/>
      <c r="M932" s="62"/>
      <c r="N932" s="62"/>
      <c r="O932" s="62">
        <f t="shared" si="169"/>
        <v>0</v>
      </c>
      <c r="P932" s="63"/>
      <c r="Q932" s="64">
        <f t="shared" si="164"/>
        <v>220640</v>
      </c>
      <c r="R932" s="64">
        <f t="shared" si="165"/>
        <v>0</v>
      </c>
      <c r="S932" s="64">
        <f t="shared" si="166"/>
        <v>220640</v>
      </c>
    </row>
    <row r="933" spans="2:19" x14ac:dyDescent="0.2">
      <c r="B933" s="48">
        <f t="shared" si="167"/>
        <v>478</v>
      </c>
      <c r="C933" s="9"/>
      <c r="D933" s="9"/>
      <c r="E933" s="9"/>
      <c r="F933" s="61" t="s">
        <v>159</v>
      </c>
      <c r="G933" s="8">
        <v>620</v>
      </c>
      <c r="H933" s="9" t="s">
        <v>125</v>
      </c>
      <c r="I933" s="62">
        <v>76800</v>
      </c>
      <c r="J933" s="62"/>
      <c r="K933" s="62">
        <f t="shared" si="168"/>
        <v>76800</v>
      </c>
      <c r="L933" s="62"/>
      <c r="M933" s="62"/>
      <c r="N933" s="62"/>
      <c r="O933" s="62">
        <f t="shared" si="169"/>
        <v>0</v>
      </c>
      <c r="P933" s="63"/>
      <c r="Q933" s="64">
        <f t="shared" si="164"/>
        <v>76800</v>
      </c>
      <c r="R933" s="64">
        <f t="shared" si="165"/>
        <v>0</v>
      </c>
      <c r="S933" s="64">
        <f t="shared" si="166"/>
        <v>76800</v>
      </c>
    </row>
    <row r="934" spans="2:19" x14ac:dyDescent="0.2">
      <c r="B934" s="48">
        <f t="shared" si="167"/>
        <v>479</v>
      </c>
      <c r="C934" s="9"/>
      <c r="D934" s="9"/>
      <c r="E934" s="9"/>
      <c r="F934" s="61" t="s">
        <v>159</v>
      </c>
      <c r="G934" s="8">
        <v>630</v>
      </c>
      <c r="H934" s="9" t="s">
        <v>122</v>
      </c>
      <c r="I934" s="62">
        <f>SUM(I935:I938)</f>
        <v>25460</v>
      </c>
      <c r="J934" s="62">
        <f>SUM(J935:J938)</f>
        <v>0</v>
      </c>
      <c r="K934" s="62">
        <f t="shared" si="168"/>
        <v>25460</v>
      </c>
      <c r="L934" s="62"/>
      <c r="M934" s="62"/>
      <c r="N934" s="62"/>
      <c r="O934" s="62">
        <f t="shared" si="169"/>
        <v>0</v>
      </c>
      <c r="P934" s="63"/>
      <c r="Q934" s="64">
        <f t="shared" si="164"/>
        <v>25460</v>
      </c>
      <c r="R934" s="64">
        <f t="shared" si="165"/>
        <v>0</v>
      </c>
      <c r="S934" s="64">
        <f t="shared" si="166"/>
        <v>25460</v>
      </c>
    </row>
    <row r="935" spans="2:19" x14ac:dyDescent="0.2">
      <c r="B935" s="48">
        <f t="shared" si="167"/>
        <v>480</v>
      </c>
      <c r="C935" s="11"/>
      <c r="D935" s="11"/>
      <c r="E935" s="11"/>
      <c r="F935" s="65"/>
      <c r="G935" s="10">
        <v>631</v>
      </c>
      <c r="H935" s="11" t="s">
        <v>128</v>
      </c>
      <c r="I935" s="66">
        <v>100</v>
      </c>
      <c r="J935" s="66"/>
      <c r="K935" s="66">
        <f t="shared" si="168"/>
        <v>100</v>
      </c>
      <c r="L935" s="66"/>
      <c r="M935" s="66"/>
      <c r="N935" s="66"/>
      <c r="O935" s="66">
        <f t="shared" si="169"/>
        <v>0</v>
      </c>
      <c r="P935" s="67"/>
      <c r="Q935" s="68">
        <f t="shared" si="164"/>
        <v>100</v>
      </c>
      <c r="R935" s="68">
        <f t="shared" si="165"/>
        <v>0</v>
      </c>
      <c r="S935" s="68">
        <f t="shared" si="166"/>
        <v>100</v>
      </c>
    </row>
    <row r="936" spans="2:19" x14ac:dyDescent="0.2">
      <c r="B936" s="48">
        <f t="shared" si="167"/>
        <v>481</v>
      </c>
      <c r="C936" s="11"/>
      <c r="D936" s="11"/>
      <c r="E936" s="11"/>
      <c r="F936" s="65"/>
      <c r="G936" s="10">
        <v>632</v>
      </c>
      <c r="H936" s="11" t="s">
        <v>135</v>
      </c>
      <c r="I936" s="66">
        <v>11000</v>
      </c>
      <c r="J936" s="66"/>
      <c r="K936" s="66">
        <f t="shared" si="168"/>
        <v>11000</v>
      </c>
      <c r="L936" s="66"/>
      <c r="M936" s="66"/>
      <c r="N936" s="66"/>
      <c r="O936" s="66">
        <f t="shared" si="169"/>
        <v>0</v>
      </c>
      <c r="P936" s="67"/>
      <c r="Q936" s="68">
        <f t="shared" ref="Q936:Q999" si="170">I936+M936</f>
        <v>11000</v>
      </c>
      <c r="R936" s="68">
        <f t="shared" ref="R936:R999" si="171">J936+N936</f>
        <v>0</v>
      </c>
      <c r="S936" s="68">
        <f t="shared" ref="S936:S999" si="172">K936+O936</f>
        <v>11000</v>
      </c>
    </row>
    <row r="937" spans="2:19" x14ac:dyDescent="0.2">
      <c r="B937" s="48">
        <f t="shared" si="167"/>
        <v>482</v>
      </c>
      <c r="C937" s="11"/>
      <c r="D937" s="11"/>
      <c r="E937" s="11"/>
      <c r="F937" s="65"/>
      <c r="G937" s="10">
        <v>633</v>
      </c>
      <c r="H937" s="11" t="s">
        <v>126</v>
      </c>
      <c r="I937" s="66">
        <f>11100-1340</f>
        <v>9760</v>
      </c>
      <c r="J937" s="66"/>
      <c r="K937" s="66">
        <f t="shared" si="168"/>
        <v>9760</v>
      </c>
      <c r="L937" s="66"/>
      <c r="M937" s="66"/>
      <c r="N937" s="66"/>
      <c r="O937" s="66">
        <f t="shared" si="169"/>
        <v>0</v>
      </c>
      <c r="P937" s="67"/>
      <c r="Q937" s="68">
        <f t="shared" si="170"/>
        <v>9760</v>
      </c>
      <c r="R937" s="68">
        <f t="shared" si="171"/>
        <v>0</v>
      </c>
      <c r="S937" s="68">
        <f t="shared" si="172"/>
        <v>9760</v>
      </c>
    </row>
    <row r="938" spans="2:19" x14ac:dyDescent="0.2">
      <c r="B938" s="48">
        <f t="shared" si="167"/>
        <v>483</v>
      </c>
      <c r="C938" s="11"/>
      <c r="D938" s="11"/>
      <c r="E938" s="11"/>
      <c r="F938" s="65"/>
      <c r="G938" s="10">
        <v>637</v>
      </c>
      <c r="H938" s="11" t="s">
        <v>123</v>
      </c>
      <c r="I938" s="66">
        <v>4600</v>
      </c>
      <c r="J938" s="66"/>
      <c r="K938" s="66">
        <f t="shared" si="168"/>
        <v>4600</v>
      </c>
      <c r="L938" s="66"/>
      <c r="M938" s="66"/>
      <c r="N938" s="66"/>
      <c r="O938" s="66">
        <f t="shared" si="169"/>
        <v>0</v>
      </c>
      <c r="P938" s="67"/>
      <c r="Q938" s="68">
        <f t="shared" si="170"/>
        <v>4600</v>
      </c>
      <c r="R938" s="68">
        <f t="shared" si="171"/>
        <v>0</v>
      </c>
      <c r="S938" s="68">
        <f t="shared" si="172"/>
        <v>4600</v>
      </c>
    </row>
    <row r="939" spans="2:19" x14ac:dyDescent="0.2">
      <c r="B939" s="48">
        <f t="shared" si="167"/>
        <v>484</v>
      </c>
      <c r="C939" s="9"/>
      <c r="D939" s="9"/>
      <c r="E939" s="9"/>
      <c r="F939" s="61" t="s">
        <v>159</v>
      </c>
      <c r="G939" s="8">
        <v>640</v>
      </c>
      <c r="H939" s="9" t="s">
        <v>130</v>
      </c>
      <c r="I939" s="62">
        <v>7500</v>
      </c>
      <c r="J939" s="62"/>
      <c r="K939" s="62">
        <f t="shared" si="168"/>
        <v>7500</v>
      </c>
      <c r="L939" s="62"/>
      <c r="M939" s="62"/>
      <c r="N939" s="62"/>
      <c r="O939" s="62">
        <f t="shared" si="169"/>
        <v>0</v>
      </c>
      <c r="P939" s="63"/>
      <c r="Q939" s="64">
        <f t="shared" si="170"/>
        <v>7500</v>
      </c>
      <c r="R939" s="64">
        <f t="shared" si="171"/>
        <v>0</v>
      </c>
      <c r="S939" s="64">
        <f t="shared" si="172"/>
        <v>7500</v>
      </c>
    </row>
    <row r="940" spans="2:19" ht="15" x14ac:dyDescent="0.25">
      <c r="B940" s="48">
        <f t="shared" si="167"/>
        <v>485</v>
      </c>
      <c r="C940" s="166"/>
      <c r="D940" s="166"/>
      <c r="E940" s="166">
        <v>13</v>
      </c>
      <c r="F940" s="167"/>
      <c r="G940" s="167"/>
      <c r="H940" s="166" t="s">
        <v>12</v>
      </c>
      <c r="I940" s="168">
        <f>I941+I942+I943+I948</f>
        <v>115627</v>
      </c>
      <c r="J940" s="168">
        <f>J941+J942+J943+J948</f>
        <v>0</v>
      </c>
      <c r="K940" s="168">
        <f t="shared" si="168"/>
        <v>115627</v>
      </c>
      <c r="L940" s="58"/>
      <c r="M940" s="168"/>
      <c r="N940" s="168"/>
      <c r="O940" s="168">
        <f t="shared" si="169"/>
        <v>0</v>
      </c>
      <c r="P940" s="59"/>
      <c r="Q940" s="169">
        <f t="shared" si="170"/>
        <v>115627</v>
      </c>
      <c r="R940" s="169">
        <f t="shared" si="171"/>
        <v>0</v>
      </c>
      <c r="S940" s="169">
        <f t="shared" si="172"/>
        <v>115627</v>
      </c>
    </row>
    <row r="941" spans="2:19" x14ac:dyDescent="0.2">
      <c r="B941" s="48">
        <f t="shared" si="167"/>
        <v>486</v>
      </c>
      <c r="C941" s="9"/>
      <c r="D941" s="9"/>
      <c r="E941" s="9"/>
      <c r="F941" s="61" t="s">
        <v>159</v>
      </c>
      <c r="G941" s="8">
        <v>610</v>
      </c>
      <c r="H941" s="9" t="s">
        <v>132</v>
      </c>
      <c r="I941" s="62">
        <v>67340</v>
      </c>
      <c r="J941" s="62"/>
      <c r="K941" s="62">
        <f t="shared" si="168"/>
        <v>67340</v>
      </c>
      <c r="L941" s="62"/>
      <c r="M941" s="62"/>
      <c r="N941" s="62"/>
      <c r="O941" s="62">
        <f t="shared" si="169"/>
        <v>0</v>
      </c>
      <c r="P941" s="63"/>
      <c r="Q941" s="64">
        <f t="shared" si="170"/>
        <v>67340</v>
      </c>
      <c r="R941" s="64">
        <f t="shared" si="171"/>
        <v>0</v>
      </c>
      <c r="S941" s="64">
        <f t="shared" si="172"/>
        <v>67340</v>
      </c>
    </row>
    <row r="942" spans="2:19" x14ac:dyDescent="0.2">
      <c r="B942" s="48">
        <f t="shared" si="167"/>
        <v>487</v>
      </c>
      <c r="C942" s="9"/>
      <c r="D942" s="9"/>
      <c r="E942" s="9"/>
      <c r="F942" s="61" t="s">
        <v>159</v>
      </c>
      <c r="G942" s="8">
        <v>620</v>
      </c>
      <c r="H942" s="9" t="s">
        <v>125</v>
      </c>
      <c r="I942" s="62">
        <v>24410</v>
      </c>
      <c r="J942" s="62"/>
      <c r="K942" s="62">
        <f t="shared" si="168"/>
        <v>24410</v>
      </c>
      <c r="L942" s="62"/>
      <c r="M942" s="62"/>
      <c r="N942" s="62"/>
      <c r="O942" s="62">
        <f t="shared" si="169"/>
        <v>0</v>
      </c>
      <c r="P942" s="63"/>
      <c r="Q942" s="64">
        <f t="shared" si="170"/>
        <v>24410</v>
      </c>
      <c r="R942" s="64">
        <f t="shared" si="171"/>
        <v>0</v>
      </c>
      <c r="S942" s="64">
        <f t="shared" si="172"/>
        <v>24410</v>
      </c>
    </row>
    <row r="943" spans="2:19" x14ac:dyDescent="0.2">
      <c r="B943" s="48">
        <f t="shared" si="167"/>
        <v>488</v>
      </c>
      <c r="C943" s="9"/>
      <c r="D943" s="9"/>
      <c r="E943" s="9"/>
      <c r="F943" s="61" t="s">
        <v>159</v>
      </c>
      <c r="G943" s="8">
        <v>630</v>
      </c>
      <c r="H943" s="9" t="s">
        <v>122</v>
      </c>
      <c r="I943" s="62">
        <f>SUM(I944:I947)</f>
        <v>20976</v>
      </c>
      <c r="J943" s="62">
        <f>SUM(J944:J947)</f>
        <v>0</v>
      </c>
      <c r="K943" s="62">
        <f t="shared" si="168"/>
        <v>20976</v>
      </c>
      <c r="L943" s="62"/>
      <c r="M943" s="62"/>
      <c r="N943" s="62"/>
      <c r="O943" s="62">
        <f t="shared" si="169"/>
        <v>0</v>
      </c>
      <c r="P943" s="63"/>
      <c r="Q943" s="64">
        <f t="shared" si="170"/>
        <v>20976</v>
      </c>
      <c r="R943" s="64">
        <f t="shared" si="171"/>
        <v>0</v>
      </c>
      <c r="S943" s="64">
        <f t="shared" si="172"/>
        <v>20976</v>
      </c>
    </row>
    <row r="944" spans="2:19" x14ac:dyDescent="0.2">
      <c r="B944" s="48">
        <f t="shared" si="167"/>
        <v>489</v>
      </c>
      <c r="C944" s="11"/>
      <c r="D944" s="11"/>
      <c r="E944" s="11"/>
      <c r="F944" s="65"/>
      <c r="G944" s="10">
        <v>632</v>
      </c>
      <c r="H944" s="11" t="s">
        <v>135</v>
      </c>
      <c r="I944" s="66">
        <v>12900</v>
      </c>
      <c r="J944" s="66"/>
      <c r="K944" s="66">
        <f t="shared" si="168"/>
        <v>12900</v>
      </c>
      <c r="L944" s="66"/>
      <c r="M944" s="66"/>
      <c r="N944" s="66"/>
      <c r="O944" s="66">
        <f t="shared" si="169"/>
        <v>0</v>
      </c>
      <c r="P944" s="67"/>
      <c r="Q944" s="68">
        <f t="shared" si="170"/>
        <v>12900</v>
      </c>
      <c r="R944" s="68">
        <f t="shared" si="171"/>
        <v>0</v>
      </c>
      <c r="S944" s="68">
        <f t="shared" si="172"/>
        <v>12900</v>
      </c>
    </row>
    <row r="945" spans="2:19" x14ac:dyDescent="0.2">
      <c r="B945" s="48">
        <f t="shared" si="167"/>
        <v>490</v>
      </c>
      <c r="C945" s="11"/>
      <c r="D945" s="11"/>
      <c r="E945" s="11"/>
      <c r="F945" s="65"/>
      <c r="G945" s="10">
        <v>633</v>
      </c>
      <c r="H945" s="11" t="s">
        <v>126</v>
      </c>
      <c r="I945" s="66">
        <f>4500-1104</f>
        <v>3396</v>
      </c>
      <c r="J945" s="66"/>
      <c r="K945" s="66">
        <f t="shared" si="168"/>
        <v>3396</v>
      </c>
      <c r="L945" s="66"/>
      <c r="M945" s="66"/>
      <c r="N945" s="66"/>
      <c r="O945" s="66">
        <f t="shared" si="169"/>
        <v>0</v>
      </c>
      <c r="P945" s="67"/>
      <c r="Q945" s="68">
        <f t="shared" si="170"/>
        <v>3396</v>
      </c>
      <c r="R945" s="68">
        <f t="shared" si="171"/>
        <v>0</v>
      </c>
      <c r="S945" s="68">
        <f t="shared" si="172"/>
        <v>3396</v>
      </c>
    </row>
    <row r="946" spans="2:19" x14ac:dyDescent="0.2">
      <c r="B946" s="48">
        <f t="shared" si="167"/>
        <v>491</v>
      </c>
      <c r="C946" s="11"/>
      <c r="D946" s="11"/>
      <c r="E946" s="11"/>
      <c r="F946" s="65"/>
      <c r="G946" s="10">
        <v>635</v>
      </c>
      <c r="H946" s="11" t="s">
        <v>134</v>
      </c>
      <c r="I946" s="66">
        <v>3500</v>
      </c>
      <c r="J946" s="66"/>
      <c r="K946" s="66">
        <f t="shared" si="168"/>
        <v>3500</v>
      </c>
      <c r="L946" s="66"/>
      <c r="M946" s="66"/>
      <c r="N946" s="66"/>
      <c r="O946" s="66">
        <f t="shared" si="169"/>
        <v>0</v>
      </c>
      <c r="P946" s="67"/>
      <c r="Q946" s="68">
        <f t="shared" si="170"/>
        <v>3500</v>
      </c>
      <c r="R946" s="68">
        <f t="shared" si="171"/>
        <v>0</v>
      </c>
      <c r="S946" s="68">
        <f t="shared" si="172"/>
        <v>3500</v>
      </c>
    </row>
    <row r="947" spans="2:19" x14ac:dyDescent="0.2">
      <c r="B947" s="48">
        <f t="shared" si="167"/>
        <v>492</v>
      </c>
      <c r="C947" s="11"/>
      <c r="D947" s="11"/>
      <c r="E947" s="11"/>
      <c r="F947" s="65"/>
      <c r="G947" s="10">
        <v>637</v>
      </c>
      <c r="H947" s="11" t="s">
        <v>123</v>
      </c>
      <c r="I947" s="66">
        <v>1180</v>
      </c>
      <c r="J947" s="66"/>
      <c r="K947" s="66">
        <f t="shared" si="168"/>
        <v>1180</v>
      </c>
      <c r="L947" s="66"/>
      <c r="M947" s="66"/>
      <c r="N947" s="66"/>
      <c r="O947" s="66">
        <f t="shared" si="169"/>
        <v>0</v>
      </c>
      <c r="P947" s="67"/>
      <c r="Q947" s="68">
        <f t="shared" si="170"/>
        <v>1180</v>
      </c>
      <c r="R947" s="68">
        <f t="shared" si="171"/>
        <v>0</v>
      </c>
      <c r="S947" s="68">
        <f t="shared" si="172"/>
        <v>1180</v>
      </c>
    </row>
    <row r="948" spans="2:19" x14ac:dyDescent="0.2">
      <c r="B948" s="48">
        <f t="shared" si="167"/>
        <v>493</v>
      </c>
      <c r="C948" s="9"/>
      <c r="D948" s="9"/>
      <c r="E948" s="9"/>
      <c r="F948" s="61" t="s">
        <v>159</v>
      </c>
      <c r="G948" s="8">
        <v>640</v>
      </c>
      <c r="H948" s="9" t="s">
        <v>130</v>
      </c>
      <c r="I948" s="62">
        <v>2901</v>
      </c>
      <c r="J948" s="62"/>
      <c r="K948" s="62">
        <f t="shared" si="168"/>
        <v>2901</v>
      </c>
      <c r="L948" s="62"/>
      <c r="M948" s="62"/>
      <c r="N948" s="62"/>
      <c r="O948" s="62">
        <f t="shared" si="169"/>
        <v>0</v>
      </c>
      <c r="P948" s="63"/>
      <c r="Q948" s="64">
        <f t="shared" si="170"/>
        <v>2901</v>
      </c>
      <c r="R948" s="64">
        <f t="shared" si="171"/>
        <v>0</v>
      </c>
      <c r="S948" s="64">
        <f t="shared" si="172"/>
        <v>2901</v>
      </c>
    </row>
    <row r="949" spans="2:19" ht="15" x14ac:dyDescent="0.25">
      <c r="B949" s="48">
        <f t="shared" si="167"/>
        <v>494</v>
      </c>
      <c r="C949" s="166"/>
      <c r="D949" s="166"/>
      <c r="E949" s="166">
        <v>14</v>
      </c>
      <c r="F949" s="167"/>
      <c r="G949" s="167"/>
      <c r="H949" s="166" t="s">
        <v>1</v>
      </c>
      <c r="I949" s="168">
        <f>I950+I951+I952+I959</f>
        <v>1753220</v>
      </c>
      <c r="J949" s="168">
        <f>J950+J951+J952+J959</f>
        <v>3000</v>
      </c>
      <c r="K949" s="168">
        <f t="shared" si="168"/>
        <v>1756220</v>
      </c>
      <c r="L949" s="58"/>
      <c r="M949" s="168">
        <f>M960</f>
        <v>60000</v>
      </c>
      <c r="N949" s="168">
        <f>N960</f>
        <v>0</v>
      </c>
      <c r="O949" s="168">
        <f t="shared" si="169"/>
        <v>60000</v>
      </c>
      <c r="P949" s="59"/>
      <c r="Q949" s="169">
        <f t="shared" si="170"/>
        <v>1813220</v>
      </c>
      <c r="R949" s="169">
        <f t="shared" si="171"/>
        <v>3000</v>
      </c>
      <c r="S949" s="169">
        <f t="shared" si="172"/>
        <v>1816220</v>
      </c>
    </row>
    <row r="950" spans="2:19" x14ac:dyDescent="0.2">
      <c r="B950" s="48">
        <f t="shared" si="167"/>
        <v>495</v>
      </c>
      <c r="C950" s="9"/>
      <c r="D950" s="9"/>
      <c r="E950" s="9"/>
      <c r="F950" s="61" t="s">
        <v>159</v>
      </c>
      <c r="G950" s="8">
        <v>610</v>
      </c>
      <c r="H950" s="9" t="s">
        <v>132</v>
      </c>
      <c r="I950" s="62">
        <f>828100+48600+84900+10800+156000+100</f>
        <v>1128500</v>
      </c>
      <c r="J950" s="62"/>
      <c r="K950" s="62">
        <f t="shared" si="168"/>
        <v>1128500</v>
      </c>
      <c r="L950" s="62"/>
      <c r="M950" s="62"/>
      <c r="N950" s="62"/>
      <c r="O950" s="62">
        <f t="shared" si="169"/>
        <v>0</v>
      </c>
      <c r="P950" s="63"/>
      <c r="Q950" s="64">
        <f t="shared" si="170"/>
        <v>1128500</v>
      </c>
      <c r="R950" s="64">
        <f t="shared" si="171"/>
        <v>0</v>
      </c>
      <c r="S950" s="64">
        <f t="shared" si="172"/>
        <v>1128500</v>
      </c>
    </row>
    <row r="951" spans="2:19" x14ac:dyDescent="0.2">
      <c r="B951" s="48">
        <f t="shared" si="167"/>
        <v>496</v>
      </c>
      <c r="C951" s="9"/>
      <c r="D951" s="9"/>
      <c r="E951" s="9"/>
      <c r="F951" s="61" t="s">
        <v>159</v>
      </c>
      <c r="G951" s="8">
        <v>620</v>
      </c>
      <c r="H951" s="9" t="s">
        <v>125</v>
      </c>
      <c r="I951" s="62">
        <f>63408+9984+5616+34992+13774+2184+137676+21840+7870+1248+29010+4608+9770+1460+46750+7410+35</f>
        <v>397635</v>
      </c>
      <c r="J951" s="62"/>
      <c r="K951" s="62">
        <f t="shared" si="168"/>
        <v>397635</v>
      </c>
      <c r="L951" s="62"/>
      <c r="M951" s="62"/>
      <c r="N951" s="62"/>
      <c r="O951" s="62">
        <f t="shared" si="169"/>
        <v>0</v>
      </c>
      <c r="P951" s="63"/>
      <c r="Q951" s="64">
        <f t="shared" si="170"/>
        <v>397635</v>
      </c>
      <c r="R951" s="64">
        <f t="shared" si="171"/>
        <v>0</v>
      </c>
      <c r="S951" s="64">
        <f t="shared" si="172"/>
        <v>397635</v>
      </c>
    </row>
    <row r="952" spans="2:19" x14ac:dyDescent="0.2">
      <c r="B952" s="48">
        <f t="shared" si="167"/>
        <v>497</v>
      </c>
      <c r="C952" s="9"/>
      <c r="D952" s="9"/>
      <c r="E952" s="9"/>
      <c r="F952" s="61" t="s">
        <v>159</v>
      </c>
      <c r="G952" s="8">
        <v>630</v>
      </c>
      <c r="H952" s="9" t="s">
        <v>122</v>
      </c>
      <c r="I952" s="62">
        <f>SUM(I953:I958)</f>
        <v>209285</v>
      </c>
      <c r="J952" s="62">
        <f>SUM(J953:J958)</f>
        <v>3000</v>
      </c>
      <c r="K952" s="62">
        <f t="shared" si="168"/>
        <v>212285</v>
      </c>
      <c r="L952" s="62"/>
      <c r="M952" s="62"/>
      <c r="N952" s="62"/>
      <c r="O952" s="62">
        <f t="shared" si="169"/>
        <v>0</v>
      </c>
      <c r="P952" s="63"/>
      <c r="Q952" s="64">
        <f t="shared" si="170"/>
        <v>209285</v>
      </c>
      <c r="R952" s="64">
        <f t="shared" si="171"/>
        <v>3000</v>
      </c>
      <c r="S952" s="64">
        <f t="shared" si="172"/>
        <v>212285</v>
      </c>
    </row>
    <row r="953" spans="2:19" x14ac:dyDescent="0.2">
      <c r="B953" s="48">
        <f t="shared" si="167"/>
        <v>498</v>
      </c>
      <c r="C953" s="11"/>
      <c r="D953" s="11"/>
      <c r="E953" s="11"/>
      <c r="F953" s="65"/>
      <c r="G953" s="10">
        <v>631</v>
      </c>
      <c r="H953" s="11" t="s">
        <v>128</v>
      </c>
      <c r="I953" s="66">
        <v>600</v>
      </c>
      <c r="J953" s="66"/>
      <c r="K953" s="66">
        <f t="shared" si="168"/>
        <v>600</v>
      </c>
      <c r="L953" s="66"/>
      <c r="M953" s="66"/>
      <c r="N953" s="66"/>
      <c r="O953" s="66">
        <f t="shared" si="169"/>
        <v>0</v>
      </c>
      <c r="P953" s="67"/>
      <c r="Q953" s="68">
        <f t="shared" si="170"/>
        <v>600</v>
      </c>
      <c r="R953" s="68">
        <f t="shared" si="171"/>
        <v>0</v>
      </c>
      <c r="S953" s="68">
        <f t="shared" si="172"/>
        <v>600</v>
      </c>
    </row>
    <row r="954" spans="2:19" x14ac:dyDescent="0.2">
      <c r="B954" s="48">
        <f t="shared" ref="B954:B1028" si="173">B953+1</f>
        <v>499</v>
      </c>
      <c r="C954" s="11"/>
      <c r="D954" s="11"/>
      <c r="E954" s="11"/>
      <c r="F954" s="65"/>
      <c r="G954" s="10">
        <v>632</v>
      </c>
      <c r="H954" s="11" t="s">
        <v>135</v>
      </c>
      <c r="I954" s="66">
        <f>9300+73500+700+900+900+400+300+2700-3000</f>
        <v>85700</v>
      </c>
      <c r="J954" s="66"/>
      <c r="K954" s="66">
        <f t="shared" si="168"/>
        <v>85700</v>
      </c>
      <c r="L954" s="66"/>
      <c r="M954" s="66"/>
      <c r="N954" s="66"/>
      <c r="O954" s="66">
        <f t="shared" si="169"/>
        <v>0</v>
      </c>
      <c r="P954" s="67"/>
      <c r="Q954" s="68">
        <f t="shared" si="170"/>
        <v>85700</v>
      </c>
      <c r="R954" s="68">
        <f t="shared" si="171"/>
        <v>0</v>
      </c>
      <c r="S954" s="68">
        <f t="shared" si="172"/>
        <v>85700</v>
      </c>
    </row>
    <row r="955" spans="2:19" x14ac:dyDescent="0.2">
      <c r="B955" s="48">
        <f t="shared" si="173"/>
        <v>500</v>
      </c>
      <c r="C955" s="11"/>
      <c r="D955" s="11"/>
      <c r="E955" s="11"/>
      <c r="F955" s="65"/>
      <c r="G955" s="10">
        <v>633</v>
      </c>
      <c r="H955" s="11" t="s">
        <v>126</v>
      </c>
      <c r="I955" s="66">
        <f>3000+6000+1000+800+4600+1500+1200+300+1000+500+100-5000</f>
        <v>15000</v>
      </c>
      <c r="J955" s="66"/>
      <c r="K955" s="66">
        <f t="shared" si="168"/>
        <v>15000</v>
      </c>
      <c r="L955" s="66"/>
      <c r="M955" s="66"/>
      <c r="N955" s="66"/>
      <c r="O955" s="66">
        <f t="shared" si="169"/>
        <v>0</v>
      </c>
      <c r="P955" s="67"/>
      <c r="Q955" s="68">
        <f t="shared" si="170"/>
        <v>15000</v>
      </c>
      <c r="R955" s="68">
        <f t="shared" si="171"/>
        <v>0</v>
      </c>
      <c r="S955" s="68">
        <f t="shared" si="172"/>
        <v>15000</v>
      </c>
    </row>
    <row r="956" spans="2:19" x14ac:dyDescent="0.2">
      <c r="B956" s="48">
        <f t="shared" si="173"/>
        <v>501</v>
      </c>
      <c r="C956" s="11"/>
      <c r="D956" s="11"/>
      <c r="E956" s="11"/>
      <c r="F956" s="65"/>
      <c r="G956" s="10">
        <v>635</v>
      </c>
      <c r="H956" s="11" t="s">
        <v>134</v>
      </c>
      <c r="I956" s="66">
        <f>100+10000+10000</f>
        <v>20100</v>
      </c>
      <c r="J956" s="66"/>
      <c r="K956" s="66">
        <f t="shared" si="168"/>
        <v>20100</v>
      </c>
      <c r="L956" s="66"/>
      <c r="M956" s="66"/>
      <c r="N956" s="66"/>
      <c r="O956" s="66">
        <f t="shared" si="169"/>
        <v>0</v>
      </c>
      <c r="P956" s="67"/>
      <c r="Q956" s="68">
        <f t="shared" si="170"/>
        <v>20100</v>
      </c>
      <c r="R956" s="68">
        <f t="shared" si="171"/>
        <v>0</v>
      </c>
      <c r="S956" s="68">
        <f t="shared" si="172"/>
        <v>20100</v>
      </c>
    </row>
    <row r="957" spans="2:19" x14ac:dyDescent="0.2">
      <c r="B957" s="48">
        <f t="shared" si="173"/>
        <v>502</v>
      </c>
      <c r="C957" s="11"/>
      <c r="D957" s="11"/>
      <c r="E957" s="11"/>
      <c r="F957" s="65"/>
      <c r="G957" s="10">
        <v>636</v>
      </c>
      <c r="H957" s="11" t="s">
        <v>127</v>
      </c>
      <c r="I957" s="66">
        <v>2500</v>
      </c>
      <c r="J957" s="66"/>
      <c r="K957" s="66">
        <f t="shared" si="168"/>
        <v>2500</v>
      </c>
      <c r="L957" s="66"/>
      <c r="M957" s="66"/>
      <c r="N957" s="66"/>
      <c r="O957" s="66">
        <f t="shared" si="169"/>
        <v>0</v>
      </c>
      <c r="P957" s="67"/>
      <c r="Q957" s="68">
        <f t="shared" si="170"/>
        <v>2500</v>
      </c>
      <c r="R957" s="68">
        <f t="shared" si="171"/>
        <v>0</v>
      </c>
      <c r="S957" s="68">
        <f t="shared" si="172"/>
        <v>2500</v>
      </c>
    </row>
    <row r="958" spans="2:19" x14ac:dyDescent="0.2">
      <c r="B958" s="48">
        <f t="shared" si="173"/>
        <v>503</v>
      </c>
      <c r="C958" s="11"/>
      <c r="D958" s="11"/>
      <c r="E958" s="11"/>
      <c r="F958" s="65"/>
      <c r="G958" s="10">
        <v>637</v>
      </c>
      <c r="H958" s="11" t="s">
        <v>123</v>
      </c>
      <c r="I958" s="66">
        <f>200+200+200+10000+800+200+13000+500+46700+900+11000+2000+2700-3015</f>
        <v>85385</v>
      </c>
      <c r="J958" s="66">
        <v>3000</v>
      </c>
      <c r="K958" s="66">
        <f t="shared" si="168"/>
        <v>88385</v>
      </c>
      <c r="L958" s="66"/>
      <c r="M958" s="66"/>
      <c r="N958" s="66"/>
      <c r="O958" s="66">
        <f t="shared" si="169"/>
        <v>0</v>
      </c>
      <c r="P958" s="67"/>
      <c r="Q958" s="68">
        <f t="shared" si="170"/>
        <v>85385</v>
      </c>
      <c r="R958" s="68">
        <f t="shared" si="171"/>
        <v>3000</v>
      </c>
      <c r="S958" s="68">
        <f t="shared" si="172"/>
        <v>88385</v>
      </c>
    </row>
    <row r="959" spans="2:19" x14ac:dyDescent="0.2">
      <c r="B959" s="48">
        <f t="shared" si="173"/>
        <v>504</v>
      </c>
      <c r="C959" s="9"/>
      <c r="D959" s="9"/>
      <c r="E959" s="9"/>
      <c r="F959" s="61" t="s">
        <v>159</v>
      </c>
      <c r="G959" s="8">
        <v>640</v>
      </c>
      <c r="H959" s="9" t="s">
        <v>130</v>
      </c>
      <c r="I959" s="62">
        <f>200+4500+10400+2700</f>
        <v>17800</v>
      </c>
      <c r="J959" s="62"/>
      <c r="K959" s="62">
        <f t="shared" si="168"/>
        <v>17800</v>
      </c>
      <c r="L959" s="62"/>
      <c r="M959" s="62"/>
      <c r="N959" s="62"/>
      <c r="O959" s="62">
        <f t="shared" si="169"/>
        <v>0</v>
      </c>
      <c r="P959" s="63"/>
      <c r="Q959" s="64">
        <f t="shared" si="170"/>
        <v>17800</v>
      </c>
      <c r="R959" s="64">
        <f t="shared" si="171"/>
        <v>0</v>
      </c>
      <c r="S959" s="64">
        <f t="shared" si="172"/>
        <v>17800</v>
      </c>
    </row>
    <row r="960" spans="2:19" x14ac:dyDescent="0.2">
      <c r="B960" s="48">
        <f t="shared" si="173"/>
        <v>505</v>
      </c>
      <c r="C960" s="9"/>
      <c r="D960" s="9"/>
      <c r="E960" s="9"/>
      <c r="F960" s="61" t="s">
        <v>159</v>
      </c>
      <c r="G960" s="8">
        <v>710</v>
      </c>
      <c r="H960" s="9" t="s">
        <v>176</v>
      </c>
      <c r="I960" s="62"/>
      <c r="J960" s="62"/>
      <c r="K960" s="62">
        <f t="shared" si="168"/>
        <v>0</v>
      </c>
      <c r="L960" s="62"/>
      <c r="M960" s="62">
        <f>M961</f>
        <v>60000</v>
      </c>
      <c r="N960" s="62">
        <f>N961</f>
        <v>0</v>
      </c>
      <c r="O960" s="62">
        <f t="shared" si="169"/>
        <v>60000</v>
      </c>
      <c r="P960" s="63"/>
      <c r="Q960" s="68">
        <f t="shared" si="170"/>
        <v>60000</v>
      </c>
      <c r="R960" s="68">
        <f t="shared" si="171"/>
        <v>0</v>
      </c>
      <c r="S960" s="68">
        <f t="shared" si="172"/>
        <v>60000</v>
      </c>
    </row>
    <row r="961" spans="2:19" x14ac:dyDescent="0.2">
      <c r="B961" s="48">
        <f t="shared" si="173"/>
        <v>506</v>
      </c>
      <c r="C961" s="9"/>
      <c r="D961" s="9"/>
      <c r="E961" s="9"/>
      <c r="F961" s="61"/>
      <c r="G961" s="10">
        <v>713</v>
      </c>
      <c r="H961" s="11" t="s">
        <v>219</v>
      </c>
      <c r="I961" s="62"/>
      <c r="J961" s="62"/>
      <c r="K961" s="62">
        <f t="shared" si="168"/>
        <v>0</v>
      </c>
      <c r="L961" s="62"/>
      <c r="M961" s="66">
        <f>M962</f>
        <v>60000</v>
      </c>
      <c r="N961" s="66">
        <f>N962</f>
        <v>0</v>
      </c>
      <c r="O961" s="66">
        <f t="shared" si="169"/>
        <v>60000</v>
      </c>
      <c r="P961" s="63"/>
      <c r="Q961" s="68">
        <f t="shared" si="170"/>
        <v>60000</v>
      </c>
      <c r="R961" s="68">
        <f t="shared" si="171"/>
        <v>0</v>
      </c>
      <c r="S961" s="68">
        <f t="shared" si="172"/>
        <v>60000</v>
      </c>
    </row>
    <row r="962" spans="2:19" x14ac:dyDescent="0.2">
      <c r="B962" s="48">
        <f t="shared" si="173"/>
        <v>507</v>
      </c>
      <c r="C962" s="9"/>
      <c r="D962" s="9"/>
      <c r="E962" s="9"/>
      <c r="F962" s="61"/>
      <c r="G962" s="82"/>
      <c r="H962" s="13" t="s">
        <v>511</v>
      </c>
      <c r="I962" s="62"/>
      <c r="J962" s="62"/>
      <c r="K962" s="62">
        <f t="shared" si="168"/>
        <v>0</v>
      </c>
      <c r="L962" s="62"/>
      <c r="M962" s="83">
        <v>60000</v>
      </c>
      <c r="N962" s="83"/>
      <c r="O962" s="83">
        <f t="shared" si="169"/>
        <v>60000</v>
      </c>
      <c r="P962" s="63"/>
      <c r="Q962" s="85">
        <f t="shared" si="170"/>
        <v>60000</v>
      </c>
      <c r="R962" s="85">
        <f t="shared" si="171"/>
        <v>0</v>
      </c>
      <c r="S962" s="85">
        <f t="shared" si="172"/>
        <v>60000</v>
      </c>
    </row>
    <row r="963" spans="2:19" ht="15" x14ac:dyDescent="0.2">
      <c r="B963" s="48">
        <f t="shared" si="173"/>
        <v>508</v>
      </c>
      <c r="C963" s="51">
        <v>4</v>
      </c>
      <c r="D963" s="435" t="s">
        <v>162</v>
      </c>
      <c r="E963" s="436"/>
      <c r="F963" s="436"/>
      <c r="G963" s="436"/>
      <c r="H963" s="436"/>
      <c r="I963" s="52">
        <f>I966+I973+I1099+I1116+I1134+I1151+I1173+I1190+I1208</f>
        <v>5175881</v>
      </c>
      <c r="J963" s="52">
        <f>J966+J973+J1099+J1116+J1134+J1151+J1173+J1190+J1208+J964</f>
        <v>156717</v>
      </c>
      <c r="K963" s="52">
        <f t="shared" si="168"/>
        <v>5332598</v>
      </c>
      <c r="L963" s="53"/>
      <c r="M963" s="52"/>
      <c r="N963" s="52">
        <f>N973+N1099+N1116+N1134+N1151+N1173+N1190+N1208</f>
        <v>50115</v>
      </c>
      <c r="O963" s="52">
        <f t="shared" si="169"/>
        <v>50115</v>
      </c>
      <c r="P963" s="54"/>
      <c r="Q963" s="72">
        <f t="shared" si="170"/>
        <v>5175881</v>
      </c>
      <c r="R963" s="72">
        <f t="shared" si="171"/>
        <v>206832</v>
      </c>
      <c r="S963" s="72">
        <f t="shared" si="172"/>
        <v>5382713</v>
      </c>
    </row>
    <row r="964" spans="2:19" x14ac:dyDescent="0.2">
      <c r="B964" s="48">
        <f>B961+1</f>
        <v>507</v>
      </c>
      <c r="C964" s="9"/>
      <c r="D964" s="9"/>
      <c r="E964" s="9"/>
      <c r="F964" s="61" t="s">
        <v>161</v>
      </c>
      <c r="G964" s="8">
        <v>637</v>
      </c>
      <c r="H964" s="9" t="s">
        <v>130</v>
      </c>
      <c r="I964" s="62">
        <f>I965</f>
        <v>0</v>
      </c>
      <c r="J964" s="62">
        <f>SUM(J965:J970)</f>
        <v>167519</v>
      </c>
      <c r="K964" s="62">
        <f>I964+J964</f>
        <v>167519</v>
      </c>
      <c r="L964" s="62"/>
      <c r="M964" s="62"/>
      <c r="N964" s="62"/>
      <c r="O964" s="62">
        <f>M964+N964</f>
        <v>0</v>
      </c>
      <c r="P964" s="63"/>
      <c r="Q964" s="64">
        <f t="shared" si="170"/>
        <v>0</v>
      </c>
      <c r="R964" s="64">
        <f t="shared" si="171"/>
        <v>167519</v>
      </c>
      <c r="S964" s="64">
        <f t="shared" si="172"/>
        <v>167519</v>
      </c>
    </row>
    <row r="965" spans="2:19" x14ac:dyDescent="0.2">
      <c r="B965" s="48">
        <f t="shared" ref="B965:B1018" si="174">B962+1</f>
        <v>508</v>
      </c>
      <c r="C965" s="81"/>
      <c r="D965" s="81"/>
      <c r="E965" s="81"/>
      <c r="F965" s="82"/>
      <c r="G965" s="82"/>
      <c r="H965" s="13" t="s">
        <v>607</v>
      </c>
      <c r="I965" s="83">
        <v>0</v>
      </c>
      <c r="J965" s="83">
        <v>167519</v>
      </c>
      <c r="K965" s="83">
        <f>I965+J965</f>
        <v>167519</v>
      </c>
      <c r="L965" s="83"/>
      <c r="M965" s="83"/>
      <c r="N965" s="83"/>
      <c r="O965" s="83">
        <f>M965+N965</f>
        <v>0</v>
      </c>
      <c r="P965" s="84"/>
      <c r="Q965" s="85">
        <f t="shared" si="170"/>
        <v>0</v>
      </c>
      <c r="R965" s="85">
        <f t="shared" si="171"/>
        <v>167519</v>
      </c>
      <c r="S965" s="85">
        <f t="shared" si="172"/>
        <v>167519</v>
      </c>
    </row>
    <row r="966" spans="2:19" x14ac:dyDescent="0.2">
      <c r="B966" s="48">
        <f t="shared" si="174"/>
        <v>509</v>
      </c>
      <c r="C966" s="9"/>
      <c r="D966" s="9"/>
      <c r="E966" s="9"/>
      <c r="F966" s="61" t="s">
        <v>161</v>
      </c>
      <c r="G966" s="8">
        <v>640</v>
      </c>
      <c r="H966" s="9" t="s">
        <v>130</v>
      </c>
      <c r="I966" s="62">
        <f>SUM(I967:I972)</f>
        <v>267914</v>
      </c>
      <c r="J966" s="62">
        <f>SUM(J967:J972)</f>
        <v>0</v>
      </c>
      <c r="K966" s="62">
        <f t="shared" si="168"/>
        <v>267914</v>
      </c>
      <c r="L966" s="62"/>
      <c r="M966" s="62"/>
      <c r="N966" s="62"/>
      <c r="O966" s="62">
        <f t="shared" si="169"/>
        <v>0</v>
      </c>
      <c r="P966" s="63"/>
      <c r="Q966" s="64">
        <f t="shared" si="170"/>
        <v>267914</v>
      </c>
      <c r="R966" s="64">
        <f t="shared" si="171"/>
        <v>0</v>
      </c>
      <c r="S966" s="64">
        <f t="shared" si="172"/>
        <v>267914</v>
      </c>
    </row>
    <row r="967" spans="2:19" x14ac:dyDescent="0.2">
      <c r="B967" s="48">
        <f t="shared" si="174"/>
        <v>508</v>
      </c>
      <c r="C967" s="81"/>
      <c r="D967" s="81"/>
      <c r="E967" s="81"/>
      <c r="F967" s="82"/>
      <c r="G967" s="82"/>
      <c r="H967" s="13" t="s">
        <v>372</v>
      </c>
      <c r="I967" s="83">
        <f>28116-746</f>
        <v>27370</v>
      </c>
      <c r="J967" s="83"/>
      <c r="K967" s="83">
        <f t="shared" si="168"/>
        <v>27370</v>
      </c>
      <c r="L967" s="83"/>
      <c r="M967" s="83"/>
      <c r="N967" s="83"/>
      <c r="O967" s="83">
        <f t="shared" si="169"/>
        <v>0</v>
      </c>
      <c r="P967" s="84"/>
      <c r="Q967" s="85">
        <f t="shared" si="170"/>
        <v>27370</v>
      </c>
      <c r="R967" s="85">
        <f t="shared" si="171"/>
        <v>0</v>
      </c>
      <c r="S967" s="85">
        <f t="shared" si="172"/>
        <v>27370</v>
      </c>
    </row>
    <row r="968" spans="2:19" x14ac:dyDescent="0.2">
      <c r="B968" s="48">
        <f t="shared" si="174"/>
        <v>509</v>
      </c>
      <c r="C968" s="81"/>
      <c r="D968" s="81"/>
      <c r="E968" s="81"/>
      <c r="F968" s="82"/>
      <c r="G968" s="82"/>
      <c r="H968" s="13" t="s">
        <v>373</v>
      </c>
      <c r="I968" s="83">
        <f>33858-899</f>
        <v>32959</v>
      </c>
      <c r="J968" s="83"/>
      <c r="K968" s="83">
        <f t="shared" si="168"/>
        <v>32959</v>
      </c>
      <c r="L968" s="83"/>
      <c r="M968" s="83"/>
      <c r="N968" s="83"/>
      <c r="O968" s="83">
        <f t="shared" si="169"/>
        <v>0</v>
      </c>
      <c r="P968" s="84"/>
      <c r="Q968" s="85">
        <f t="shared" si="170"/>
        <v>32959</v>
      </c>
      <c r="R968" s="85">
        <f t="shared" si="171"/>
        <v>0</v>
      </c>
      <c r="S968" s="85">
        <f t="shared" si="172"/>
        <v>32959</v>
      </c>
    </row>
    <row r="969" spans="2:19" x14ac:dyDescent="0.2">
      <c r="B969" s="48">
        <f t="shared" si="174"/>
        <v>510</v>
      </c>
      <c r="C969" s="81"/>
      <c r="D969" s="81"/>
      <c r="E969" s="81"/>
      <c r="F969" s="82"/>
      <c r="G969" s="82"/>
      <c r="H969" s="13" t="s">
        <v>374</v>
      </c>
      <c r="I969" s="83">
        <f>30690-815</f>
        <v>29875</v>
      </c>
      <c r="J969" s="83"/>
      <c r="K969" s="83">
        <f t="shared" si="168"/>
        <v>29875</v>
      </c>
      <c r="L969" s="83"/>
      <c r="M969" s="83"/>
      <c r="N969" s="83"/>
      <c r="O969" s="83">
        <f t="shared" si="169"/>
        <v>0</v>
      </c>
      <c r="P969" s="84"/>
      <c r="Q969" s="85">
        <f t="shared" si="170"/>
        <v>29875</v>
      </c>
      <c r="R969" s="85">
        <f t="shared" si="171"/>
        <v>0</v>
      </c>
      <c r="S969" s="85">
        <f t="shared" si="172"/>
        <v>29875</v>
      </c>
    </row>
    <row r="970" spans="2:19" x14ac:dyDescent="0.2">
      <c r="B970" s="48">
        <f t="shared" si="174"/>
        <v>509</v>
      </c>
      <c r="C970" s="81"/>
      <c r="D970" s="81"/>
      <c r="E970" s="81"/>
      <c r="F970" s="82"/>
      <c r="G970" s="82"/>
      <c r="H970" s="13" t="s">
        <v>375</v>
      </c>
      <c r="I970" s="83">
        <f>9900-263</f>
        <v>9637</v>
      </c>
      <c r="J970" s="83"/>
      <c r="K970" s="83">
        <f t="shared" si="168"/>
        <v>9637</v>
      </c>
      <c r="L970" s="83"/>
      <c r="M970" s="83"/>
      <c r="N970" s="83"/>
      <c r="O970" s="83">
        <f t="shared" si="169"/>
        <v>0</v>
      </c>
      <c r="P970" s="84"/>
      <c r="Q970" s="85">
        <f t="shared" si="170"/>
        <v>9637</v>
      </c>
      <c r="R970" s="85">
        <f t="shared" si="171"/>
        <v>0</v>
      </c>
      <c r="S970" s="85">
        <f t="shared" si="172"/>
        <v>9637</v>
      </c>
    </row>
    <row r="971" spans="2:19" x14ac:dyDescent="0.2">
      <c r="B971" s="48">
        <f t="shared" si="174"/>
        <v>510</v>
      </c>
      <c r="C971" s="81"/>
      <c r="D971" s="81"/>
      <c r="E971" s="81"/>
      <c r="F971" s="82"/>
      <c r="G971" s="82"/>
      <c r="H971" s="13" t="s">
        <v>277</v>
      </c>
      <c r="I971" s="83">
        <f>166518-4420</f>
        <v>162098</v>
      </c>
      <c r="J971" s="83"/>
      <c r="K971" s="83">
        <f t="shared" si="168"/>
        <v>162098</v>
      </c>
      <c r="L971" s="83"/>
      <c r="M971" s="83"/>
      <c r="N971" s="83"/>
      <c r="O971" s="83">
        <f t="shared" si="169"/>
        <v>0</v>
      </c>
      <c r="P971" s="84"/>
      <c r="Q971" s="85">
        <f t="shared" si="170"/>
        <v>162098</v>
      </c>
      <c r="R971" s="85">
        <f t="shared" si="171"/>
        <v>0</v>
      </c>
      <c r="S971" s="85">
        <f t="shared" si="172"/>
        <v>162098</v>
      </c>
    </row>
    <row r="972" spans="2:19" x14ac:dyDescent="0.2">
      <c r="B972" s="48">
        <f t="shared" si="174"/>
        <v>511</v>
      </c>
      <c r="C972" s="81"/>
      <c r="D972" s="81"/>
      <c r="E972" s="81"/>
      <c r="F972" s="82"/>
      <c r="G972" s="82"/>
      <c r="H972" s="13" t="s">
        <v>294</v>
      </c>
      <c r="I972" s="83">
        <f>6138-163</f>
        <v>5975</v>
      </c>
      <c r="J972" s="83"/>
      <c r="K972" s="83">
        <f t="shared" si="168"/>
        <v>5975</v>
      </c>
      <c r="L972" s="83"/>
      <c r="M972" s="83"/>
      <c r="N972" s="83"/>
      <c r="O972" s="83">
        <f t="shared" si="169"/>
        <v>0</v>
      </c>
      <c r="P972" s="84"/>
      <c r="Q972" s="85">
        <f t="shared" si="170"/>
        <v>5975</v>
      </c>
      <c r="R972" s="85">
        <f t="shared" si="171"/>
        <v>0</v>
      </c>
      <c r="S972" s="85">
        <f t="shared" si="172"/>
        <v>5975</v>
      </c>
    </row>
    <row r="973" spans="2:19" ht="15" x14ac:dyDescent="0.25">
      <c r="B973" s="48">
        <f t="shared" si="174"/>
        <v>510</v>
      </c>
      <c r="C973" s="166"/>
      <c r="D973" s="166"/>
      <c r="E973" s="166">
        <v>4</v>
      </c>
      <c r="F973" s="167"/>
      <c r="G973" s="167"/>
      <c r="H973" s="166" t="s">
        <v>84</v>
      </c>
      <c r="I973" s="168">
        <f>I1090+I1082+I1074+I1066+I1058+I1050+I1042+I1034+I1023+I1015+I1004+I993+I985+I974</f>
        <v>1616210</v>
      </c>
      <c r="J973" s="168">
        <f>J1090+J1082+J1074+J1066+J1058+J1050+J1042+J1034+J1023+J1015+J1004+J993+J985+J974</f>
        <v>0</v>
      </c>
      <c r="K973" s="168">
        <f t="shared" si="168"/>
        <v>1616210</v>
      </c>
      <c r="L973" s="58"/>
      <c r="M973" s="168"/>
      <c r="N973" s="168">
        <f>N974+N993+N1004+N1023</f>
        <v>40000</v>
      </c>
      <c r="O973" s="168">
        <f t="shared" si="169"/>
        <v>40000</v>
      </c>
      <c r="P973" s="59"/>
      <c r="Q973" s="169">
        <f t="shared" si="170"/>
        <v>1616210</v>
      </c>
      <c r="R973" s="169">
        <f t="shared" si="171"/>
        <v>40000</v>
      </c>
      <c r="S973" s="169">
        <f t="shared" si="172"/>
        <v>1656210</v>
      </c>
    </row>
    <row r="974" spans="2:19" x14ac:dyDescent="0.2">
      <c r="B974" s="48">
        <f t="shared" si="174"/>
        <v>511</v>
      </c>
      <c r="C974" s="184"/>
      <c r="D974" s="184"/>
      <c r="E974" s="184" t="s">
        <v>92</v>
      </c>
      <c r="F974" s="185"/>
      <c r="G974" s="185"/>
      <c r="H974" s="184" t="s">
        <v>65</v>
      </c>
      <c r="I974" s="186">
        <f>I981+I977+I976+I975</f>
        <v>88627</v>
      </c>
      <c r="J974" s="186">
        <f>J981+J977+J976+J975</f>
        <v>0</v>
      </c>
      <c r="K974" s="186">
        <f t="shared" si="168"/>
        <v>88627</v>
      </c>
      <c r="L974" s="62"/>
      <c r="M974" s="186">
        <f>M982</f>
        <v>0</v>
      </c>
      <c r="N974" s="186">
        <f>N982</f>
        <v>10000</v>
      </c>
      <c r="O974" s="186">
        <f t="shared" si="169"/>
        <v>10000</v>
      </c>
      <c r="P974" s="63"/>
      <c r="Q974" s="187">
        <f t="shared" si="170"/>
        <v>88627</v>
      </c>
      <c r="R974" s="187">
        <f t="shared" si="171"/>
        <v>10000</v>
      </c>
      <c r="S974" s="187">
        <f t="shared" si="172"/>
        <v>98627</v>
      </c>
    </row>
    <row r="975" spans="2:19" x14ac:dyDescent="0.2">
      <c r="B975" s="48">
        <f t="shared" si="174"/>
        <v>512</v>
      </c>
      <c r="C975" s="9"/>
      <c r="D975" s="9"/>
      <c r="E975" s="9"/>
      <c r="F975" s="61" t="s">
        <v>161</v>
      </c>
      <c r="G975" s="8">
        <v>610</v>
      </c>
      <c r="H975" s="9" t="s">
        <v>132</v>
      </c>
      <c r="I975" s="62">
        <f>726+360+4155+23841</f>
        <v>29082</v>
      </c>
      <c r="J975" s="62"/>
      <c r="K975" s="62">
        <f t="shared" si="168"/>
        <v>29082</v>
      </c>
      <c r="L975" s="62"/>
      <c r="M975" s="62"/>
      <c r="N975" s="62"/>
      <c r="O975" s="62">
        <f t="shared" si="169"/>
        <v>0</v>
      </c>
      <c r="P975" s="63"/>
      <c r="Q975" s="64">
        <f t="shared" si="170"/>
        <v>29082</v>
      </c>
      <c r="R975" s="64">
        <f t="shared" si="171"/>
        <v>0</v>
      </c>
      <c r="S975" s="64">
        <f t="shared" si="172"/>
        <v>29082</v>
      </c>
    </row>
    <row r="976" spans="2:19" x14ac:dyDescent="0.2">
      <c r="B976" s="48">
        <f t="shared" si="174"/>
        <v>511</v>
      </c>
      <c r="C976" s="9"/>
      <c r="D976" s="9"/>
      <c r="E976" s="9"/>
      <c r="F976" s="61" t="s">
        <v>161</v>
      </c>
      <c r="G976" s="8">
        <v>620</v>
      </c>
      <c r="H976" s="9" t="s">
        <v>125</v>
      </c>
      <c r="I976" s="62">
        <f>1472+310+930+582+248+4338+434+3098</f>
        <v>11412</v>
      </c>
      <c r="J976" s="62"/>
      <c r="K976" s="62">
        <f t="shared" si="168"/>
        <v>11412</v>
      </c>
      <c r="L976" s="62"/>
      <c r="M976" s="62"/>
      <c r="N976" s="62"/>
      <c r="O976" s="62">
        <f t="shared" si="169"/>
        <v>0</v>
      </c>
      <c r="P976" s="63"/>
      <c r="Q976" s="64">
        <f t="shared" si="170"/>
        <v>11412</v>
      </c>
      <c r="R976" s="64">
        <f t="shared" si="171"/>
        <v>0</v>
      </c>
      <c r="S976" s="64">
        <f t="shared" si="172"/>
        <v>11412</v>
      </c>
    </row>
    <row r="977" spans="2:19" x14ac:dyDescent="0.2">
      <c r="B977" s="48">
        <f t="shared" si="174"/>
        <v>512</v>
      </c>
      <c r="C977" s="9"/>
      <c r="D977" s="9"/>
      <c r="E977" s="9"/>
      <c r="F977" s="61" t="s">
        <v>161</v>
      </c>
      <c r="G977" s="8">
        <v>630</v>
      </c>
      <c r="H977" s="9" t="s">
        <v>122</v>
      </c>
      <c r="I977" s="62">
        <f>I980+I979+I978</f>
        <v>45881</v>
      </c>
      <c r="J977" s="62">
        <f>J980+J979+J978</f>
        <v>0</v>
      </c>
      <c r="K977" s="62">
        <f t="shared" si="168"/>
        <v>45881</v>
      </c>
      <c r="L977" s="62"/>
      <c r="M977" s="62"/>
      <c r="N977" s="62"/>
      <c r="O977" s="62">
        <f t="shared" si="169"/>
        <v>0</v>
      </c>
      <c r="P977" s="63"/>
      <c r="Q977" s="64">
        <f t="shared" si="170"/>
        <v>45881</v>
      </c>
      <c r="R977" s="64">
        <f t="shared" si="171"/>
        <v>0</v>
      </c>
      <c r="S977" s="64">
        <f t="shared" si="172"/>
        <v>45881</v>
      </c>
    </row>
    <row r="978" spans="2:19" x14ac:dyDescent="0.2">
      <c r="B978" s="48">
        <f t="shared" si="174"/>
        <v>513</v>
      </c>
      <c r="C978" s="11"/>
      <c r="D978" s="11"/>
      <c r="E978" s="11"/>
      <c r="F978" s="65"/>
      <c r="G978" s="10">
        <v>633</v>
      </c>
      <c r="H978" s="11" t="s">
        <v>126</v>
      </c>
      <c r="I978" s="66">
        <f>150+500+2000+29282+2000+280+6174</f>
        <v>40386</v>
      </c>
      <c r="J978" s="66"/>
      <c r="K978" s="66">
        <f t="shared" si="168"/>
        <v>40386</v>
      </c>
      <c r="L978" s="66"/>
      <c r="M978" s="66"/>
      <c r="N978" s="66"/>
      <c r="O978" s="66">
        <f t="shared" si="169"/>
        <v>0</v>
      </c>
      <c r="P978" s="67"/>
      <c r="Q978" s="68">
        <f t="shared" si="170"/>
        <v>40386</v>
      </c>
      <c r="R978" s="68">
        <f t="shared" si="171"/>
        <v>0</v>
      </c>
      <c r="S978" s="68">
        <f t="shared" si="172"/>
        <v>40386</v>
      </c>
    </row>
    <row r="979" spans="2:19" x14ac:dyDescent="0.2">
      <c r="B979" s="48">
        <f t="shared" si="174"/>
        <v>512</v>
      </c>
      <c r="C979" s="11"/>
      <c r="D979" s="11"/>
      <c r="E979" s="11"/>
      <c r="F979" s="65"/>
      <c r="G979" s="10">
        <v>635</v>
      </c>
      <c r="H979" s="11" t="s">
        <v>134</v>
      </c>
      <c r="I979" s="66">
        <f>100+3400</f>
        <v>3500</v>
      </c>
      <c r="J979" s="66"/>
      <c r="K979" s="66">
        <f t="shared" si="168"/>
        <v>3500</v>
      </c>
      <c r="L979" s="66"/>
      <c r="M979" s="66"/>
      <c r="N979" s="66"/>
      <c r="O979" s="66">
        <f t="shared" si="169"/>
        <v>0</v>
      </c>
      <c r="P979" s="67"/>
      <c r="Q979" s="68">
        <f t="shared" si="170"/>
        <v>3500</v>
      </c>
      <c r="R979" s="68">
        <f t="shared" si="171"/>
        <v>0</v>
      </c>
      <c r="S979" s="68">
        <f t="shared" si="172"/>
        <v>3500</v>
      </c>
    </row>
    <row r="980" spans="2:19" x14ac:dyDescent="0.2">
      <c r="B980" s="48">
        <f t="shared" si="174"/>
        <v>513</v>
      </c>
      <c r="C980" s="11"/>
      <c r="D980" s="11"/>
      <c r="E980" s="11"/>
      <c r="F980" s="65"/>
      <c r="G980" s="10">
        <v>637</v>
      </c>
      <c r="H980" s="11" t="s">
        <v>123</v>
      </c>
      <c r="I980" s="66">
        <f>100+436+1459</f>
        <v>1995</v>
      </c>
      <c r="J980" s="66"/>
      <c r="K980" s="66">
        <f t="shared" si="168"/>
        <v>1995</v>
      </c>
      <c r="L980" s="66"/>
      <c r="M980" s="66"/>
      <c r="N980" s="66"/>
      <c r="O980" s="66">
        <f t="shared" si="169"/>
        <v>0</v>
      </c>
      <c r="P980" s="67"/>
      <c r="Q980" s="68">
        <f t="shared" si="170"/>
        <v>1995</v>
      </c>
      <c r="R980" s="68">
        <f t="shared" si="171"/>
        <v>0</v>
      </c>
      <c r="S980" s="68">
        <f t="shared" si="172"/>
        <v>1995</v>
      </c>
    </row>
    <row r="981" spans="2:19" x14ac:dyDescent="0.2">
      <c r="B981" s="48">
        <f t="shared" si="174"/>
        <v>514</v>
      </c>
      <c r="C981" s="9"/>
      <c r="D981" s="9"/>
      <c r="E981" s="9"/>
      <c r="F981" s="61" t="s">
        <v>161</v>
      </c>
      <c r="G981" s="8">
        <v>640</v>
      </c>
      <c r="H981" s="9" t="s">
        <v>130</v>
      </c>
      <c r="I981" s="62">
        <f>1802+450</f>
        <v>2252</v>
      </c>
      <c r="J981" s="62"/>
      <c r="K981" s="62">
        <f t="shared" si="168"/>
        <v>2252</v>
      </c>
      <c r="L981" s="62"/>
      <c r="M981" s="62"/>
      <c r="N981" s="62"/>
      <c r="O981" s="62">
        <f t="shared" si="169"/>
        <v>0</v>
      </c>
      <c r="P981" s="63"/>
      <c r="Q981" s="64">
        <f t="shared" si="170"/>
        <v>2252</v>
      </c>
      <c r="R981" s="64">
        <f t="shared" si="171"/>
        <v>0</v>
      </c>
      <c r="S981" s="64">
        <f t="shared" si="172"/>
        <v>2252</v>
      </c>
    </row>
    <row r="982" spans="2:19" x14ac:dyDescent="0.2">
      <c r="B982" s="48">
        <f t="shared" si="174"/>
        <v>513</v>
      </c>
      <c r="C982" s="9"/>
      <c r="D982" s="9"/>
      <c r="E982" s="9"/>
      <c r="F982" s="61" t="s">
        <v>161</v>
      </c>
      <c r="G982" s="8">
        <v>710</v>
      </c>
      <c r="H982" s="9" t="s">
        <v>176</v>
      </c>
      <c r="I982" s="62"/>
      <c r="J982" s="62"/>
      <c r="K982" s="62">
        <f t="shared" si="168"/>
        <v>0</v>
      </c>
      <c r="L982" s="62"/>
      <c r="M982" s="62">
        <f>M983</f>
        <v>0</v>
      </c>
      <c r="N982" s="62">
        <f>N983</f>
        <v>10000</v>
      </c>
      <c r="O982" s="62">
        <f t="shared" si="169"/>
        <v>10000</v>
      </c>
      <c r="P982" s="63"/>
      <c r="Q982" s="68">
        <f t="shared" si="170"/>
        <v>0</v>
      </c>
      <c r="R982" s="68">
        <f t="shared" si="171"/>
        <v>10000</v>
      </c>
      <c r="S982" s="68">
        <f t="shared" si="172"/>
        <v>10000</v>
      </c>
    </row>
    <row r="983" spans="2:19" x14ac:dyDescent="0.2">
      <c r="B983" s="48">
        <f t="shared" si="174"/>
        <v>514</v>
      </c>
      <c r="C983" s="9"/>
      <c r="D983" s="9"/>
      <c r="E983" s="9"/>
      <c r="F983" s="61"/>
      <c r="G983" s="10">
        <v>717</v>
      </c>
      <c r="H983" s="11" t="s">
        <v>183</v>
      </c>
      <c r="I983" s="62"/>
      <c r="J983" s="62"/>
      <c r="K983" s="62">
        <f t="shared" si="168"/>
        <v>0</v>
      </c>
      <c r="L983" s="62"/>
      <c r="M983" s="66">
        <f>M984</f>
        <v>0</v>
      </c>
      <c r="N983" s="66">
        <f>N984</f>
        <v>10000</v>
      </c>
      <c r="O983" s="66">
        <f t="shared" si="169"/>
        <v>10000</v>
      </c>
      <c r="P983" s="63"/>
      <c r="Q983" s="68">
        <f t="shared" si="170"/>
        <v>0</v>
      </c>
      <c r="R983" s="68">
        <f t="shared" si="171"/>
        <v>10000</v>
      </c>
      <c r="S983" s="68">
        <f t="shared" si="172"/>
        <v>10000</v>
      </c>
    </row>
    <row r="984" spans="2:19" x14ac:dyDescent="0.2">
      <c r="B984" s="48">
        <f t="shared" si="174"/>
        <v>515</v>
      </c>
      <c r="C984" s="9"/>
      <c r="D984" s="9"/>
      <c r="E984" s="9"/>
      <c r="F984" s="61"/>
      <c r="G984" s="82"/>
      <c r="H984" s="13" t="s">
        <v>664</v>
      </c>
      <c r="I984" s="62"/>
      <c r="J984" s="62"/>
      <c r="K984" s="62">
        <f t="shared" si="168"/>
        <v>0</v>
      </c>
      <c r="L984" s="62"/>
      <c r="M984" s="83">
        <v>0</v>
      </c>
      <c r="N984" s="83">
        <v>10000</v>
      </c>
      <c r="O984" s="83">
        <f t="shared" si="169"/>
        <v>10000</v>
      </c>
      <c r="P984" s="63"/>
      <c r="Q984" s="85">
        <f t="shared" si="170"/>
        <v>0</v>
      </c>
      <c r="R984" s="85">
        <f t="shared" si="171"/>
        <v>10000</v>
      </c>
      <c r="S984" s="85">
        <f t="shared" si="172"/>
        <v>10000</v>
      </c>
    </row>
    <row r="985" spans="2:19" x14ac:dyDescent="0.2">
      <c r="B985" s="48">
        <f t="shared" si="174"/>
        <v>514</v>
      </c>
      <c r="C985" s="184"/>
      <c r="D985" s="184"/>
      <c r="E985" s="184" t="s">
        <v>91</v>
      </c>
      <c r="F985" s="185"/>
      <c r="G985" s="185"/>
      <c r="H985" s="184" t="s">
        <v>227</v>
      </c>
      <c r="I985" s="186">
        <f>I992+I988+I987+I986</f>
        <v>141772</v>
      </c>
      <c r="J985" s="186">
        <f>J992+J988+J987+J986</f>
        <v>0</v>
      </c>
      <c r="K985" s="186">
        <f t="shared" si="168"/>
        <v>141772</v>
      </c>
      <c r="L985" s="62"/>
      <c r="M985" s="186"/>
      <c r="N985" s="186"/>
      <c r="O985" s="186">
        <f t="shared" si="169"/>
        <v>0</v>
      </c>
      <c r="P985" s="63"/>
      <c r="Q985" s="187">
        <f t="shared" si="170"/>
        <v>141772</v>
      </c>
      <c r="R985" s="187">
        <f t="shared" si="171"/>
        <v>0</v>
      </c>
      <c r="S985" s="187">
        <f t="shared" si="172"/>
        <v>141772</v>
      </c>
    </row>
    <row r="986" spans="2:19" x14ac:dyDescent="0.2">
      <c r="B986" s="48">
        <f t="shared" si="174"/>
        <v>515</v>
      </c>
      <c r="C986" s="9"/>
      <c r="D986" s="9"/>
      <c r="E986" s="9"/>
      <c r="F986" s="61" t="s">
        <v>161</v>
      </c>
      <c r="G986" s="8">
        <v>610</v>
      </c>
      <c r="H986" s="9" t="s">
        <v>132</v>
      </c>
      <c r="I986" s="62">
        <f>810+600+6314+36471</f>
        <v>44195</v>
      </c>
      <c r="J986" s="62"/>
      <c r="K986" s="62">
        <f t="shared" si="168"/>
        <v>44195</v>
      </c>
      <c r="L986" s="62"/>
      <c r="M986" s="62"/>
      <c r="N986" s="62"/>
      <c r="O986" s="62">
        <f t="shared" si="169"/>
        <v>0</v>
      </c>
      <c r="P986" s="63"/>
      <c r="Q986" s="64">
        <f t="shared" si="170"/>
        <v>44195</v>
      </c>
      <c r="R986" s="64">
        <f t="shared" si="171"/>
        <v>0</v>
      </c>
      <c r="S986" s="64">
        <f t="shared" si="172"/>
        <v>44195</v>
      </c>
    </row>
    <row r="987" spans="2:19" x14ac:dyDescent="0.2">
      <c r="B987" s="48">
        <f t="shared" si="174"/>
        <v>516</v>
      </c>
      <c r="C987" s="9"/>
      <c r="D987" s="9"/>
      <c r="E987" s="9"/>
      <c r="F987" s="61" t="s">
        <v>161</v>
      </c>
      <c r="G987" s="8">
        <v>620</v>
      </c>
      <c r="H987" s="9" t="s">
        <v>125</v>
      </c>
      <c r="I987" s="62">
        <f>2104+442+1329+884+354+6201+620+4430</f>
        <v>16364</v>
      </c>
      <c r="J987" s="62"/>
      <c r="K987" s="62">
        <f t="shared" si="168"/>
        <v>16364</v>
      </c>
      <c r="L987" s="62"/>
      <c r="M987" s="62"/>
      <c r="N987" s="62"/>
      <c r="O987" s="62">
        <f t="shared" si="169"/>
        <v>0</v>
      </c>
      <c r="P987" s="63"/>
      <c r="Q987" s="64">
        <f t="shared" si="170"/>
        <v>16364</v>
      </c>
      <c r="R987" s="64">
        <f t="shared" si="171"/>
        <v>0</v>
      </c>
      <c r="S987" s="64">
        <f t="shared" si="172"/>
        <v>16364</v>
      </c>
    </row>
    <row r="988" spans="2:19" x14ac:dyDescent="0.2">
      <c r="B988" s="48">
        <f t="shared" si="174"/>
        <v>515</v>
      </c>
      <c r="C988" s="9"/>
      <c r="D988" s="9"/>
      <c r="E988" s="9"/>
      <c r="F988" s="61" t="s">
        <v>161</v>
      </c>
      <c r="G988" s="8">
        <v>630</v>
      </c>
      <c r="H988" s="9" t="s">
        <v>122</v>
      </c>
      <c r="I988" s="62">
        <f>I991+I990+I989</f>
        <v>80763</v>
      </c>
      <c r="J988" s="62">
        <f>J991+J990+J989</f>
        <v>0</v>
      </c>
      <c r="K988" s="62">
        <f t="shared" si="168"/>
        <v>80763</v>
      </c>
      <c r="L988" s="62"/>
      <c r="M988" s="62"/>
      <c r="N988" s="62"/>
      <c r="O988" s="62">
        <f t="shared" si="169"/>
        <v>0</v>
      </c>
      <c r="P988" s="63"/>
      <c r="Q988" s="64">
        <f t="shared" si="170"/>
        <v>80763</v>
      </c>
      <c r="R988" s="64">
        <f t="shared" si="171"/>
        <v>0</v>
      </c>
      <c r="S988" s="64">
        <f t="shared" si="172"/>
        <v>80763</v>
      </c>
    </row>
    <row r="989" spans="2:19" x14ac:dyDescent="0.2">
      <c r="B989" s="48">
        <f t="shared" si="174"/>
        <v>516</v>
      </c>
      <c r="C989" s="11"/>
      <c r="D989" s="11"/>
      <c r="E989" s="11"/>
      <c r="F989" s="65"/>
      <c r="G989" s="10">
        <v>633</v>
      </c>
      <c r="H989" s="11" t="s">
        <v>126</v>
      </c>
      <c r="I989" s="66">
        <f>200+1200+63085+1400+1000+280+9878</f>
        <v>77043</v>
      </c>
      <c r="J989" s="66"/>
      <c r="K989" s="66">
        <f t="shared" si="168"/>
        <v>77043</v>
      </c>
      <c r="L989" s="66"/>
      <c r="M989" s="66"/>
      <c r="N989" s="66"/>
      <c r="O989" s="66">
        <f t="shared" si="169"/>
        <v>0</v>
      </c>
      <c r="P989" s="67"/>
      <c r="Q989" s="68">
        <f t="shared" si="170"/>
        <v>77043</v>
      </c>
      <c r="R989" s="68">
        <f t="shared" si="171"/>
        <v>0</v>
      </c>
      <c r="S989" s="68">
        <f t="shared" si="172"/>
        <v>77043</v>
      </c>
    </row>
    <row r="990" spans="2:19" x14ac:dyDescent="0.2">
      <c r="B990" s="48">
        <f t="shared" si="174"/>
        <v>517</v>
      </c>
      <c r="C990" s="11"/>
      <c r="D990" s="11"/>
      <c r="E990" s="11"/>
      <c r="F990" s="65"/>
      <c r="G990" s="10">
        <v>635</v>
      </c>
      <c r="H990" s="11" t="s">
        <v>134</v>
      </c>
      <c r="I990" s="66">
        <f>100+2000</f>
        <v>2100</v>
      </c>
      <c r="J990" s="66"/>
      <c r="K990" s="66">
        <f t="shared" si="168"/>
        <v>2100</v>
      </c>
      <c r="L990" s="66"/>
      <c r="M990" s="66"/>
      <c r="N990" s="66"/>
      <c r="O990" s="66">
        <f t="shared" si="169"/>
        <v>0</v>
      </c>
      <c r="P990" s="67"/>
      <c r="Q990" s="68">
        <f t="shared" si="170"/>
        <v>2100</v>
      </c>
      <c r="R990" s="68">
        <f t="shared" si="171"/>
        <v>0</v>
      </c>
      <c r="S990" s="68">
        <f t="shared" si="172"/>
        <v>2100</v>
      </c>
    </row>
    <row r="991" spans="2:19" x14ac:dyDescent="0.2">
      <c r="B991" s="48">
        <f t="shared" si="174"/>
        <v>516</v>
      </c>
      <c r="C991" s="11"/>
      <c r="D991" s="11"/>
      <c r="E991" s="11"/>
      <c r="F991" s="65"/>
      <c r="G991" s="10">
        <v>637</v>
      </c>
      <c r="H991" s="11" t="s">
        <v>123</v>
      </c>
      <c r="I991" s="66">
        <f>100+663+857</f>
        <v>1620</v>
      </c>
      <c r="J991" s="66"/>
      <c r="K991" s="66">
        <f t="shared" si="168"/>
        <v>1620</v>
      </c>
      <c r="L991" s="66"/>
      <c r="M991" s="66"/>
      <c r="N991" s="66"/>
      <c r="O991" s="66">
        <f t="shared" si="169"/>
        <v>0</v>
      </c>
      <c r="P991" s="67"/>
      <c r="Q991" s="68">
        <f t="shared" si="170"/>
        <v>1620</v>
      </c>
      <c r="R991" s="68">
        <f t="shared" si="171"/>
        <v>0</v>
      </c>
      <c r="S991" s="68">
        <f t="shared" si="172"/>
        <v>1620</v>
      </c>
    </row>
    <row r="992" spans="2:19" x14ac:dyDescent="0.2">
      <c r="B992" s="48">
        <f t="shared" si="174"/>
        <v>517</v>
      </c>
      <c r="C992" s="9"/>
      <c r="D992" s="9"/>
      <c r="E992" s="9"/>
      <c r="F992" s="61" t="s">
        <v>161</v>
      </c>
      <c r="G992" s="8">
        <v>640</v>
      </c>
      <c r="H992" s="9" t="s">
        <v>130</v>
      </c>
      <c r="I992" s="62">
        <v>450</v>
      </c>
      <c r="J992" s="62"/>
      <c r="K992" s="62">
        <f t="shared" si="168"/>
        <v>450</v>
      </c>
      <c r="L992" s="62"/>
      <c r="M992" s="62"/>
      <c r="N992" s="62"/>
      <c r="O992" s="62">
        <f t="shared" si="169"/>
        <v>0</v>
      </c>
      <c r="P992" s="63"/>
      <c r="Q992" s="64">
        <f t="shared" si="170"/>
        <v>450</v>
      </c>
      <c r="R992" s="64">
        <f t="shared" si="171"/>
        <v>0</v>
      </c>
      <c r="S992" s="64">
        <f t="shared" si="172"/>
        <v>450</v>
      </c>
    </row>
    <row r="993" spans="2:19" x14ac:dyDescent="0.2">
      <c r="B993" s="48">
        <f t="shared" si="174"/>
        <v>518</v>
      </c>
      <c r="C993" s="184"/>
      <c r="D993" s="184"/>
      <c r="E993" s="184" t="s">
        <v>87</v>
      </c>
      <c r="F993" s="185"/>
      <c r="G993" s="185"/>
      <c r="H993" s="184" t="s">
        <v>64</v>
      </c>
      <c r="I993" s="186">
        <f>I1000+I996+I995+I994</f>
        <v>90264</v>
      </c>
      <c r="J993" s="186">
        <f>J1000+J996+J995+J994</f>
        <v>0</v>
      </c>
      <c r="K993" s="186">
        <f t="shared" si="168"/>
        <v>90264</v>
      </c>
      <c r="L993" s="62"/>
      <c r="M993" s="186">
        <f>M1001</f>
        <v>0</v>
      </c>
      <c r="N993" s="186">
        <f>N1001</f>
        <v>10000</v>
      </c>
      <c r="O993" s="186">
        <f t="shared" si="169"/>
        <v>10000</v>
      </c>
      <c r="P993" s="63"/>
      <c r="Q993" s="187">
        <f t="shared" si="170"/>
        <v>90264</v>
      </c>
      <c r="R993" s="187">
        <f t="shared" si="171"/>
        <v>10000</v>
      </c>
      <c r="S993" s="187">
        <f t="shared" si="172"/>
        <v>100264</v>
      </c>
    </row>
    <row r="994" spans="2:19" x14ac:dyDescent="0.2">
      <c r="B994" s="48">
        <f t="shared" si="174"/>
        <v>517</v>
      </c>
      <c r="C994" s="9"/>
      <c r="D994" s="9"/>
      <c r="E994" s="9"/>
      <c r="F994" s="61" t="s">
        <v>161</v>
      </c>
      <c r="G994" s="8">
        <v>610</v>
      </c>
      <c r="H994" s="9" t="s">
        <v>132</v>
      </c>
      <c r="I994" s="62">
        <f>726+360+4155+23841</f>
        <v>29082</v>
      </c>
      <c r="J994" s="62"/>
      <c r="K994" s="62">
        <f t="shared" si="168"/>
        <v>29082</v>
      </c>
      <c r="L994" s="62"/>
      <c r="M994" s="62"/>
      <c r="N994" s="62"/>
      <c r="O994" s="62">
        <f t="shared" si="169"/>
        <v>0</v>
      </c>
      <c r="P994" s="63"/>
      <c r="Q994" s="64">
        <f t="shared" si="170"/>
        <v>29082</v>
      </c>
      <c r="R994" s="64">
        <f t="shared" si="171"/>
        <v>0</v>
      </c>
      <c r="S994" s="64">
        <f t="shared" si="172"/>
        <v>29082</v>
      </c>
    </row>
    <row r="995" spans="2:19" x14ac:dyDescent="0.2">
      <c r="B995" s="48">
        <f t="shared" si="174"/>
        <v>518</v>
      </c>
      <c r="C995" s="9"/>
      <c r="D995" s="9"/>
      <c r="E995" s="9"/>
      <c r="F995" s="61" t="s">
        <v>161</v>
      </c>
      <c r="G995" s="8">
        <v>620</v>
      </c>
      <c r="H995" s="9" t="s">
        <v>125</v>
      </c>
      <c r="I995" s="62">
        <f>1386+292+875+582+233+4085+409+2918</f>
        <v>10780</v>
      </c>
      <c r="J995" s="62"/>
      <c r="K995" s="62">
        <f t="shared" si="168"/>
        <v>10780</v>
      </c>
      <c r="L995" s="62"/>
      <c r="M995" s="62"/>
      <c r="N995" s="62"/>
      <c r="O995" s="62">
        <f t="shared" si="169"/>
        <v>0</v>
      </c>
      <c r="P995" s="63"/>
      <c r="Q995" s="64">
        <f t="shared" si="170"/>
        <v>10780</v>
      </c>
      <c r="R995" s="64">
        <f t="shared" si="171"/>
        <v>0</v>
      </c>
      <c r="S995" s="64">
        <f t="shared" si="172"/>
        <v>10780</v>
      </c>
    </row>
    <row r="996" spans="2:19" x14ac:dyDescent="0.2">
      <c r="B996" s="48">
        <f t="shared" si="174"/>
        <v>519</v>
      </c>
      <c r="C996" s="9"/>
      <c r="D996" s="9"/>
      <c r="E996" s="9"/>
      <c r="F996" s="61" t="s">
        <v>161</v>
      </c>
      <c r="G996" s="8">
        <v>630</v>
      </c>
      <c r="H996" s="9" t="s">
        <v>122</v>
      </c>
      <c r="I996" s="62">
        <f>I999+I998+I997</f>
        <v>49952</v>
      </c>
      <c r="J996" s="62">
        <f>J999+J998+J997</f>
        <v>0</v>
      </c>
      <c r="K996" s="62">
        <f t="shared" si="168"/>
        <v>49952</v>
      </c>
      <c r="L996" s="62"/>
      <c r="M996" s="62"/>
      <c r="N996" s="62"/>
      <c r="O996" s="62">
        <f t="shared" si="169"/>
        <v>0</v>
      </c>
      <c r="P996" s="63"/>
      <c r="Q996" s="64">
        <f t="shared" si="170"/>
        <v>49952</v>
      </c>
      <c r="R996" s="64">
        <f t="shared" si="171"/>
        <v>0</v>
      </c>
      <c r="S996" s="64">
        <f t="shared" si="172"/>
        <v>49952</v>
      </c>
    </row>
    <row r="997" spans="2:19" x14ac:dyDescent="0.2">
      <c r="B997" s="48">
        <f t="shared" si="174"/>
        <v>518</v>
      </c>
      <c r="C997" s="11"/>
      <c r="D997" s="11"/>
      <c r="E997" s="11"/>
      <c r="F997" s="65"/>
      <c r="G997" s="10">
        <v>633</v>
      </c>
      <c r="H997" s="11" t="s">
        <v>126</v>
      </c>
      <c r="I997" s="66">
        <f>700+150+1500+29062+2350+280+9570</f>
        <v>43612</v>
      </c>
      <c r="J997" s="66"/>
      <c r="K997" s="66">
        <f t="shared" ref="K997:K1069" si="175">I997+J997</f>
        <v>43612</v>
      </c>
      <c r="L997" s="66"/>
      <c r="M997" s="66"/>
      <c r="N997" s="66"/>
      <c r="O997" s="66">
        <f t="shared" ref="O997:O1069" si="176">M997+N997</f>
        <v>0</v>
      </c>
      <c r="P997" s="67"/>
      <c r="Q997" s="68">
        <f t="shared" si="170"/>
        <v>43612</v>
      </c>
      <c r="R997" s="68">
        <f t="shared" si="171"/>
        <v>0</v>
      </c>
      <c r="S997" s="68">
        <f t="shared" si="172"/>
        <v>43612</v>
      </c>
    </row>
    <row r="998" spans="2:19" x14ac:dyDescent="0.2">
      <c r="B998" s="48">
        <f t="shared" si="174"/>
        <v>519</v>
      </c>
      <c r="C998" s="11"/>
      <c r="D998" s="11"/>
      <c r="E998" s="11"/>
      <c r="F998" s="65"/>
      <c r="G998" s="10">
        <v>635</v>
      </c>
      <c r="H998" s="11" t="s">
        <v>134</v>
      </c>
      <c r="I998" s="66">
        <f>100+4900</f>
        <v>5000</v>
      </c>
      <c r="J998" s="66"/>
      <c r="K998" s="66">
        <f t="shared" si="175"/>
        <v>5000</v>
      </c>
      <c r="L998" s="66"/>
      <c r="M998" s="66"/>
      <c r="N998" s="66"/>
      <c r="O998" s="66">
        <f t="shared" si="176"/>
        <v>0</v>
      </c>
      <c r="P998" s="67"/>
      <c r="Q998" s="68">
        <f t="shared" si="170"/>
        <v>5000</v>
      </c>
      <c r="R998" s="68">
        <f t="shared" si="171"/>
        <v>0</v>
      </c>
      <c r="S998" s="68">
        <f t="shared" si="172"/>
        <v>5000</v>
      </c>
    </row>
    <row r="999" spans="2:19" x14ac:dyDescent="0.2">
      <c r="B999" s="48">
        <f t="shared" si="174"/>
        <v>520</v>
      </c>
      <c r="C999" s="11"/>
      <c r="D999" s="11"/>
      <c r="E999" s="11"/>
      <c r="F999" s="65"/>
      <c r="G999" s="10">
        <v>637</v>
      </c>
      <c r="H999" s="11" t="s">
        <v>123</v>
      </c>
      <c r="I999" s="66">
        <f>440+100+800</f>
        <v>1340</v>
      </c>
      <c r="J999" s="66"/>
      <c r="K999" s="66">
        <f t="shared" si="175"/>
        <v>1340</v>
      </c>
      <c r="L999" s="66"/>
      <c r="M999" s="66"/>
      <c r="N999" s="66"/>
      <c r="O999" s="66">
        <f t="shared" si="176"/>
        <v>0</v>
      </c>
      <c r="P999" s="67"/>
      <c r="Q999" s="68">
        <f t="shared" si="170"/>
        <v>1340</v>
      </c>
      <c r="R999" s="68">
        <f t="shared" si="171"/>
        <v>0</v>
      </c>
      <c r="S999" s="68">
        <f t="shared" si="172"/>
        <v>1340</v>
      </c>
    </row>
    <row r="1000" spans="2:19" x14ac:dyDescent="0.2">
      <c r="B1000" s="48">
        <f t="shared" si="174"/>
        <v>519</v>
      </c>
      <c r="C1000" s="9"/>
      <c r="D1000" s="9"/>
      <c r="E1000" s="9"/>
      <c r="F1000" s="61" t="s">
        <v>161</v>
      </c>
      <c r="G1000" s="8">
        <v>640</v>
      </c>
      <c r="H1000" s="9" t="s">
        <v>130</v>
      </c>
      <c r="I1000" s="62">
        <v>450</v>
      </c>
      <c r="J1000" s="62"/>
      <c r="K1000" s="62">
        <f t="shared" si="175"/>
        <v>450</v>
      </c>
      <c r="L1000" s="62"/>
      <c r="M1000" s="62"/>
      <c r="N1000" s="62"/>
      <c r="O1000" s="62">
        <f t="shared" si="176"/>
        <v>0</v>
      </c>
      <c r="P1000" s="63"/>
      <c r="Q1000" s="64">
        <f t="shared" ref="Q1000:Q1072" si="177">I1000+M1000</f>
        <v>450</v>
      </c>
      <c r="R1000" s="64">
        <f t="shared" ref="R1000:R1072" si="178">J1000+N1000</f>
        <v>0</v>
      </c>
      <c r="S1000" s="64">
        <f t="shared" ref="S1000:S1072" si="179">K1000+O1000</f>
        <v>450</v>
      </c>
    </row>
    <row r="1001" spans="2:19" x14ac:dyDescent="0.2">
      <c r="B1001" s="48">
        <f t="shared" si="174"/>
        <v>520</v>
      </c>
      <c r="C1001" s="9"/>
      <c r="D1001" s="9"/>
      <c r="E1001" s="9"/>
      <c r="F1001" s="61" t="s">
        <v>161</v>
      </c>
      <c r="G1001" s="8">
        <v>710</v>
      </c>
      <c r="H1001" s="9" t="s">
        <v>176</v>
      </c>
      <c r="I1001" s="62"/>
      <c r="J1001" s="62"/>
      <c r="K1001" s="62">
        <f t="shared" ref="K1001:K1003" si="180">I1001+J1001</f>
        <v>0</v>
      </c>
      <c r="L1001" s="62"/>
      <c r="M1001" s="62">
        <f>M1002</f>
        <v>0</v>
      </c>
      <c r="N1001" s="62">
        <f>N1002</f>
        <v>10000</v>
      </c>
      <c r="O1001" s="62">
        <f t="shared" ref="O1001:O1003" si="181">M1001+N1001</f>
        <v>10000</v>
      </c>
      <c r="P1001" s="63"/>
      <c r="Q1001" s="68">
        <f t="shared" ref="Q1001:Q1003" si="182">I1001+M1001</f>
        <v>0</v>
      </c>
      <c r="R1001" s="68">
        <f t="shared" ref="R1001:R1003" si="183">J1001+N1001</f>
        <v>10000</v>
      </c>
      <c r="S1001" s="68">
        <f t="shared" ref="S1001:S1003" si="184">K1001+O1001</f>
        <v>10000</v>
      </c>
    </row>
    <row r="1002" spans="2:19" x14ac:dyDescent="0.2">
      <c r="B1002" s="48">
        <f t="shared" si="174"/>
        <v>521</v>
      </c>
      <c r="C1002" s="9"/>
      <c r="D1002" s="9"/>
      <c r="E1002" s="9"/>
      <c r="F1002" s="61"/>
      <c r="G1002" s="10">
        <v>717</v>
      </c>
      <c r="H1002" s="11" t="s">
        <v>183</v>
      </c>
      <c r="I1002" s="62"/>
      <c r="J1002" s="62"/>
      <c r="K1002" s="62">
        <f t="shared" si="180"/>
        <v>0</v>
      </c>
      <c r="L1002" s="62"/>
      <c r="M1002" s="66">
        <f>M1003</f>
        <v>0</v>
      </c>
      <c r="N1002" s="66">
        <f>N1003</f>
        <v>10000</v>
      </c>
      <c r="O1002" s="66">
        <f t="shared" si="181"/>
        <v>10000</v>
      </c>
      <c r="P1002" s="63"/>
      <c r="Q1002" s="68">
        <f t="shared" si="182"/>
        <v>0</v>
      </c>
      <c r="R1002" s="68">
        <f t="shared" si="183"/>
        <v>10000</v>
      </c>
      <c r="S1002" s="68">
        <f t="shared" si="184"/>
        <v>10000</v>
      </c>
    </row>
    <row r="1003" spans="2:19" x14ac:dyDescent="0.2">
      <c r="B1003" s="48">
        <f t="shared" si="174"/>
        <v>520</v>
      </c>
      <c r="C1003" s="9"/>
      <c r="D1003" s="9"/>
      <c r="E1003" s="9"/>
      <c r="F1003" s="61"/>
      <c r="G1003" s="82"/>
      <c r="H1003" s="13" t="s">
        <v>664</v>
      </c>
      <c r="I1003" s="62"/>
      <c r="J1003" s="62"/>
      <c r="K1003" s="62">
        <f t="shared" si="180"/>
        <v>0</v>
      </c>
      <c r="L1003" s="62"/>
      <c r="M1003" s="83">
        <v>0</v>
      </c>
      <c r="N1003" s="83">
        <v>10000</v>
      </c>
      <c r="O1003" s="83">
        <f t="shared" si="181"/>
        <v>10000</v>
      </c>
      <c r="P1003" s="63"/>
      <c r="Q1003" s="85">
        <f t="shared" si="182"/>
        <v>0</v>
      </c>
      <c r="R1003" s="85">
        <f t="shared" si="183"/>
        <v>10000</v>
      </c>
      <c r="S1003" s="85">
        <f t="shared" si="184"/>
        <v>10000</v>
      </c>
    </row>
    <row r="1004" spans="2:19" x14ac:dyDescent="0.2">
      <c r="B1004" s="48">
        <f t="shared" si="174"/>
        <v>521</v>
      </c>
      <c r="C1004" s="184"/>
      <c r="D1004" s="184"/>
      <c r="E1004" s="184" t="s">
        <v>95</v>
      </c>
      <c r="F1004" s="185"/>
      <c r="G1004" s="185"/>
      <c r="H1004" s="184" t="s">
        <v>96</v>
      </c>
      <c r="I1004" s="186">
        <f>I1011+I1007+I1006+I1005</f>
        <v>103519</v>
      </c>
      <c r="J1004" s="186">
        <f>J1011+J1007+J1006+J1005</f>
        <v>0</v>
      </c>
      <c r="K1004" s="186">
        <f t="shared" si="175"/>
        <v>103519</v>
      </c>
      <c r="L1004" s="62"/>
      <c r="M1004" s="186">
        <f>M1012</f>
        <v>0</v>
      </c>
      <c r="N1004" s="186">
        <f>N1012</f>
        <v>10000</v>
      </c>
      <c r="O1004" s="186">
        <f t="shared" si="176"/>
        <v>10000</v>
      </c>
      <c r="P1004" s="63"/>
      <c r="Q1004" s="187">
        <f t="shared" si="177"/>
        <v>103519</v>
      </c>
      <c r="R1004" s="187">
        <f t="shared" si="178"/>
        <v>10000</v>
      </c>
      <c r="S1004" s="187">
        <f t="shared" si="179"/>
        <v>113519</v>
      </c>
    </row>
    <row r="1005" spans="2:19" x14ac:dyDescent="0.2">
      <c r="B1005" s="48">
        <f t="shared" si="174"/>
        <v>522</v>
      </c>
      <c r="C1005" s="9"/>
      <c r="D1005" s="9"/>
      <c r="E1005" s="9"/>
      <c r="F1005" s="61" t="s">
        <v>161</v>
      </c>
      <c r="G1005" s="8">
        <v>610</v>
      </c>
      <c r="H1005" s="9" t="s">
        <v>132</v>
      </c>
      <c r="I1005" s="62">
        <f>768+480+4418+25260</f>
        <v>30926</v>
      </c>
      <c r="J1005" s="62"/>
      <c r="K1005" s="62">
        <f t="shared" si="175"/>
        <v>30926</v>
      </c>
      <c r="L1005" s="62"/>
      <c r="M1005" s="62"/>
      <c r="N1005" s="62"/>
      <c r="O1005" s="62">
        <f t="shared" si="176"/>
        <v>0</v>
      </c>
      <c r="P1005" s="63"/>
      <c r="Q1005" s="64">
        <f t="shared" si="177"/>
        <v>30926</v>
      </c>
      <c r="R1005" s="64">
        <f t="shared" si="178"/>
        <v>0</v>
      </c>
      <c r="S1005" s="64">
        <f t="shared" si="179"/>
        <v>30926</v>
      </c>
    </row>
    <row r="1006" spans="2:19" x14ac:dyDescent="0.2">
      <c r="B1006" s="48">
        <f t="shared" si="174"/>
        <v>521</v>
      </c>
      <c r="C1006" s="9"/>
      <c r="D1006" s="9"/>
      <c r="E1006" s="9"/>
      <c r="F1006" s="61" t="s">
        <v>161</v>
      </c>
      <c r="G1006" s="8">
        <v>620</v>
      </c>
      <c r="H1006" s="9" t="s">
        <v>125</v>
      </c>
      <c r="I1006" s="62">
        <f>1474+310+931+619+248+4344+434+3103</f>
        <v>11463</v>
      </c>
      <c r="J1006" s="62"/>
      <c r="K1006" s="62">
        <f t="shared" si="175"/>
        <v>11463</v>
      </c>
      <c r="L1006" s="62"/>
      <c r="M1006" s="62"/>
      <c r="N1006" s="62"/>
      <c r="O1006" s="62">
        <f t="shared" si="176"/>
        <v>0</v>
      </c>
      <c r="P1006" s="63"/>
      <c r="Q1006" s="64">
        <f t="shared" si="177"/>
        <v>11463</v>
      </c>
      <c r="R1006" s="64">
        <f t="shared" si="178"/>
        <v>0</v>
      </c>
      <c r="S1006" s="64">
        <f t="shared" si="179"/>
        <v>11463</v>
      </c>
    </row>
    <row r="1007" spans="2:19" x14ac:dyDescent="0.2">
      <c r="B1007" s="48">
        <f t="shared" si="174"/>
        <v>522</v>
      </c>
      <c r="C1007" s="9"/>
      <c r="D1007" s="9"/>
      <c r="E1007" s="9"/>
      <c r="F1007" s="61" t="s">
        <v>161</v>
      </c>
      <c r="G1007" s="8">
        <v>630</v>
      </c>
      <c r="H1007" s="9" t="s">
        <v>122</v>
      </c>
      <c r="I1007" s="62">
        <f>I1010+I1009+I1008</f>
        <v>60680</v>
      </c>
      <c r="J1007" s="62">
        <f>J1010+J1009+J1008</f>
        <v>0</v>
      </c>
      <c r="K1007" s="62">
        <f t="shared" si="175"/>
        <v>60680</v>
      </c>
      <c r="L1007" s="62"/>
      <c r="M1007" s="62"/>
      <c r="N1007" s="62"/>
      <c r="O1007" s="62">
        <f t="shared" si="176"/>
        <v>0</v>
      </c>
      <c r="P1007" s="63"/>
      <c r="Q1007" s="64">
        <f t="shared" si="177"/>
        <v>60680</v>
      </c>
      <c r="R1007" s="64">
        <f t="shared" si="178"/>
        <v>0</v>
      </c>
      <c r="S1007" s="64">
        <f t="shared" si="179"/>
        <v>60680</v>
      </c>
    </row>
    <row r="1008" spans="2:19" x14ac:dyDescent="0.2">
      <c r="B1008" s="48">
        <f t="shared" si="174"/>
        <v>523</v>
      </c>
      <c r="C1008" s="11"/>
      <c r="D1008" s="11"/>
      <c r="E1008" s="11"/>
      <c r="F1008" s="65"/>
      <c r="G1008" s="10">
        <v>633</v>
      </c>
      <c r="H1008" s="11" t="s">
        <v>126</v>
      </c>
      <c r="I1008" s="66">
        <f>500+150+2000+39823+2500+280+10187</f>
        <v>55440</v>
      </c>
      <c r="J1008" s="66"/>
      <c r="K1008" s="66">
        <f t="shared" si="175"/>
        <v>55440</v>
      </c>
      <c r="L1008" s="66"/>
      <c r="M1008" s="66"/>
      <c r="N1008" s="66"/>
      <c r="O1008" s="66">
        <f t="shared" si="176"/>
        <v>0</v>
      </c>
      <c r="P1008" s="67"/>
      <c r="Q1008" s="68">
        <f t="shared" si="177"/>
        <v>55440</v>
      </c>
      <c r="R1008" s="68">
        <f t="shared" si="178"/>
        <v>0</v>
      </c>
      <c r="S1008" s="68">
        <f t="shared" si="179"/>
        <v>55440</v>
      </c>
    </row>
    <row r="1009" spans="2:19" x14ac:dyDescent="0.2">
      <c r="B1009" s="48">
        <f t="shared" si="174"/>
        <v>522</v>
      </c>
      <c r="C1009" s="11"/>
      <c r="D1009" s="11"/>
      <c r="E1009" s="11"/>
      <c r="F1009" s="65"/>
      <c r="G1009" s="10">
        <v>635</v>
      </c>
      <c r="H1009" s="11" t="s">
        <v>134</v>
      </c>
      <c r="I1009" s="66">
        <f>100+3900</f>
        <v>4000</v>
      </c>
      <c r="J1009" s="66"/>
      <c r="K1009" s="66">
        <f t="shared" si="175"/>
        <v>4000</v>
      </c>
      <c r="L1009" s="66"/>
      <c r="M1009" s="66"/>
      <c r="N1009" s="66"/>
      <c r="O1009" s="66">
        <f t="shared" si="176"/>
        <v>0</v>
      </c>
      <c r="P1009" s="67"/>
      <c r="Q1009" s="68">
        <f t="shared" si="177"/>
        <v>4000</v>
      </c>
      <c r="R1009" s="68">
        <f t="shared" si="178"/>
        <v>0</v>
      </c>
      <c r="S1009" s="68">
        <f t="shared" si="179"/>
        <v>4000</v>
      </c>
    </row>
    <row r="1010" spans="2:19" x14ac:dyDescent="0.2">
      <c r="B1010" s="48">
        <f t="shared" si="174"/>
        <v>523</v>
      </c>
      <c r="C1010" s="11"/>
      <c r="D1010" s="11"/>
      <c r="E1010" s="11"/>
      <c r="F1010" s="65"/>
      <c r="G1010" s="10">
        <v>637</v>
      </c>
      <c r="H1010" s="11" t="s">
        <v>123</v>
      </c>
      <c r="I1010" s="66">
        <f>100+464+676</f>
        <v>1240</v>
      </c>
      <c r="J1010" s="66"/>
      <c r="K1010" s="66">
        <f t="shared" si="175"/>
        <v>1240</v>
      </c>
      <c r="L1010" s="66"/>
      <c r="M1010" s="66"/>
      <c r="N1010" s="66"/>
      <c r="O1010" s="66">
        <f t="shared" si="176"/>
        <v>0</v>
      </c>
      <c r="P1010" s="67"/>
      <c r="Q1010" s="68">
        <f t="shared" si="177"/>
        <v>1240</v>
      </c>
      <c r="R1010" s="68">
        <f t="shared" si="178"/>
        <v>0</v>
      </c>
      <c r="S1010" s="68">
        <f t="shared" si="179"/>
        <v>1240</v>
      </c>
    </row>
    <row r="1011" spans="2:19" x14ac:dyDescent="0.2">
      <c r="B1011" s="48">
        <f t="shared" si="174"/>
        <v>524</v>
      </c>
      <c r="C1011" s="9"/>
      <c r="D1011" s="9"/>
      <c r="E1011" s="9"/>
      <c r="F1011" s="61" t="s">
        <v>161</v>
      </c>
      <c r="G1011" s="8">
        <v>640</v>
      </c>
      <c r="H1011" s="9" t="s">
        <v>130</v>
      </c>
      <c r="I1011" s="62">
        <v>450</v>
      </c>
      <c r="J1011" s="62"/>
      <c r="K1011" s="62">
        <f t="shared" si="175"/>
        <v>450</v>
      </c>
      <c r="L1011" s="62"/>
      <c r="M1011" s="62"/>
      <c r="N1011" s="62"/>
      <c r="O1011" s="62">
        <f t="shared" si="176"/>
        <v>0</v>
      </c>
      <c r="P1011" s="63"/>
      <c r="Q1011" s="64">
        <f t="shared" si="177"/>
        <v>450</v>
      </c>
      <c r="R1011" s="64">
        <f t="shared" si="178"/>
        <v>0</v>
      </c>
      <c r="S1011" s="64">
        <f t="shared" si="179"/>
        <v>450</v>
      </c>
    </row>
    <row r="1012" spans="2:19" x14ac:dyDescent="0.2">
      <c r="B1012" s="48">
        <f t="shared" si="174"/>
        <v>523</v>
      </c>
      <c r="C1012" s="9"/>
      <c r="D1012" s="9"/>
      <c r="E1012" s="9"/>
      <c r="F1012" s="61" t="s">
        <v>161</v>
      </c>
      <c r="G1012" s="8">
        <v>710</v>
      </c>
      <c r="H1012" s="9" t="s">
        <v>176</v>
      </c>
      <c r="I1012" s="62"/>
      <c r="J1012" s="62"/>
      <c r="K1012" s="62">
        <f t="shared" si="175"/>
        <v>0</v>
      </c>
      <c r="L1012" s="62"/>
      <c r="M1012" s="62">
        <f>M1013</f>
        <v>0</v>
      </c>
      <c r="N1012" s="62">
        <f>N1013</f>
        <v>10000</v>
      </c>
      <c r="O1012" s="62">
        <f t="shared" si="176"/>
        <v>10000</v>
      </c>
      <c r="P1012" s="63"/>
      <c r="Q1012" s="68">
        <f t="shared" si="177"/>
        <v>0</v>
      </c>
      <c r="R1012" s="68">
        <f t="shared" si="178"/>
        <v>10000</v>
      </c>
      <c r="S1012" s="68">
        <f t="shared" si="179"/>
        <v>10000</v>
      </c>
    </row>
    <row r="1013" spans="2:19" x14ac:dyDescent="0.2">
      <c r="B1013" s="48">
        <f t="shared" si="174"/>
        <v>524</v>
      </c>
      <c r="C1013" s="9"/>
      <c r="D1013" s="9"/>
      <c r="E1013" s="9"/>
      <c r="F1013" s="61"/>
      <c r="G1013" s="10">
        <v>717</v>
      </c>
      <c r="H1013" s="11" t="s">
        <v>183</v>
      </c>
      <c r="I1013" s="62"/>
      <c r="J1013" s="62"/>
      <c r="K1013" s="62">
        <f t="shared" si="175"/>
        <v>0</v>
      </c>
      <c r="L1013" s="62"/>
      <c r="M1013" s="66">
        <f>M1014</f>
        <v>0</v>
      </c>
      <c r="N1013" s="66">
        <f>N1014</f>
        <v>10000</v>
      </c>
      <c r="O1013" s="66">
        <f t="shared" si="176"/>
        <v>10000</v>
      </c>
      <c r="P1013" s="63"/>
      <c r="Q1013" s="68">
        <f t="shared" si="177"/>
        <v>0</v>
      </c>
      <c r="R1013" s="68">
        <f t="shared" si="178"/>
        <v>10000</v>
      </c>
      <c r="S1013" s="68">
        <f t="shared" si="179"/>
        <v>10000</v>
      </c>
    </row>
    <row r="1014" spans="2:19" x14ac:dyDescent="0.2">
      <c r="B1014" s="48">
        <f t="shared" si="174"/>
        <v>525</v>
      </c>
      <c r="C1014" s="9"/>
      <c r="D1014" s="9"/>
      <c r="E1014" s="9"/>
      <c r="F1014" s="61"/>
      <c r="G1014" s="82"/>
      <c r="H1014" s="13" t="s">
        <v>664</v>
      </c>
      <c r="I1014" s="62"/>
      <c r="J1014" s="62"/>
      <c r="K1014" s="62">
        <f t="shared" si="175"/>
        <v>0</v>
      </c>
      <c r="L1014" s="62"/>
      <c r="M1014" s="83">
        <v>0</v>
      </c>
      <c r="N1014" s="83">
        <v>10000</v>
      </c>
      <c r="O1014" s="83">
        <f t="shared" si="176"/>
        <v>10000</v>
      </c>
      <c r="P1014" s="63"/>
      <c r="Q1014" s="85">
        <f t="shared" si="177"/>
        <v>0</v>
      </c>
      <c r="R1014" s="85">
        <f t="shared" si="178"/>
        <v>10000</v>
      </c>
      <c r="S1014" s="85">
        <f t="shared" si="179"/>
        <v>10000</v>
      </c>
    </row>
    <row r="1015" spans="2:19" s="164" customFormat="1" x14ac:dyDescent="0.2">
      <c r="B1015" s="48">
        <f>B1009+1</f>
        <v>523</v>
      </c>
      <c r="C1015" s="184"/>
      <c r="D1015" s="184"/>
      <c r="E1015" s="184" t="s">
        <v>98</v>
      </c>
      <c r="F1015" s="185"/>
      <c r="G1015" s="185"/>
      <c r="H1015" s="184" t="s">
        <v>99</v>
      </c>
      <c r="I1015" s="186">
        <f>I1022+I1018+I1017+I1016</f>
        <v>95760</v>
      </c>
      <c r="J1015" s="186">
        <f>J1022+J1018+J1017+J1016</f>
        <v>0</v>
      </c>
      <c r="K1015" s="186">
        <f t="shared" si="175"/>
        <v>95760</v>
      </c>
      <c r="L1015" s="62"/>
      <c r="M1015" s="186"/>
      <c r="N1015" s="186"/>
      <c r="O1015" s="186">
        <f t="shared" si="176"/>
        <v>0</v>
      </c>
      <c r="P1015" s="63"/>
      <c r="Q1015" s="187">
        <f t="shared" si="177"/>
        <v>95760</v>
      </c>
      <c r="R1015" s="187">
        <f t="shared" si="178"/>
        <v>0</v>
      </c>
      <c r="S1015" s="187">
        <f t="shared" si="179"/>
        <v>95760</v>
      </c>
    </row>
    <row r="1016" spans="2:19" x14ac:dyDescent="0.2">
      <c r="B1016" s="48">
        <f>B1010+1</f>
        <v>524</v>
      </c>
      <c r="C1016" s="9"/>
      <c r="D1016" s="9"/>
      <c r="E1016" s="9"/>
      <c r="F1016" s="61" t="s">
        <v>161</v>
      </c>
      <c r="G1016" s="8">
        <v>610</v>
      </c>
      <c r="H1016" s="9" t="s">
        <v>132</v>
      </c>
      <c r="I1016" s="62">
        <f>810+600+4612+26259</f>
        <v>32281</v>
      </c>
      <c r="J1016" s="62"/>
      <c r="K1016" s="62">
        <f t="shared" si="175"/>
        <v>32281</v>
      </c>
      <c r="L1016" s="62"/>
      <c r="M1016" s="62"/>
      <c r="N1016" s="62"/>
      <c r="O1016" s="62">
        <f t="shared" si="176"/>
        <v>0</v>
      </c>
      <c r="P1016" s="63"/>
      <c r="Q1016" s="64">
        <f t="shared" si="177"/>
        <v>32281</v>
      </c>
      <c r="R1016" s="64">
        <f t="shared" si="178"/>
        <v>0</v>
      </c>
      <c r="S1016" s="64">
        <f t="shared" si="179"/>
        <v>32281</v>
      </c>
    </row>
    <row r="1017" spans="2:19" s="164" customFormat="1" x14ac:dyDescent="0.2">
      <c r="B1017" s="48">
        <f>B1011+1</f>
        <v>525</v>
      </c>
      <c r="C1017" s="9"/>
      <c r="D1017" s="9"/>
      <c r="E1017" s="9"/>
      <c r="F1017" s="61" t="s">
        <v>161</v>
      </c>
      <c r="G1017" s="8">
        <v>620</v>
      </c>
      <c r="H1017" s="9" t="s">
        <v>125</v>
      </c>
      <c r="I1017" s="62">
        <v>11962</v>
      </c>
      <c r="J1017" s="62"/>
      <c r="K1017" s="62">
        <f t="shared" si="175"/>
        <v>11962</v>
      </c>
      <c r="L1017" s="62"/>
      <c r="M1017" s="62"/>
      <c r="N1017" s="62"/>
      <c r="O1017" s="62">
        <f t="shared" si="176"/>
        <v>0</v>
      </c>
      <c r="P1017" s="63"/>
      <c r="Q1017" s="64">
        <f t="shared" si="177"/>
        <v>11962</v>
      </c>
      <c r="R1017" s="64">
        <f t="shared" si="178"/>
        <v>0</v>
      </c>
      <c r="S1017" s="64">
        <f t="shared" si="179"/>
        <v>11962</v>
      </c>
    </row>
    <row r="1018" spans="2:19" x14ac:dyDescent="0.2">
      <c r="B1018" s="48">
        <f t="shared" si="174"/>
        <v>524</v>
      </c>
      <c r="C1018" s="9"/>
      <c r="D1018" s="9"/>
      <c r="E1018" s="9"/>
      <c r="F1018" s="61" t="s">
        <v>161</v>
      </c>
      <c r="G1018" s="8">
        <v>630</v>
      </c>
      <c r="H1018" s="9" t="s">
        <v>122</v>
      </c>
      <c r="I1018" s="62">
        <f>I1021+I1020+I1019</f>
        <v>51067</v>
      </c>
      <c r="J1018" s="62">
        <f>J1021+J1020+J1019</f>
        <v>0</v>
      </c>
      <c r="K1018" s="62">
        <f t="shared" si="175"/>
        <v>51067</v>
      </c>
      <c r="L1018" s="62"/>
      <c r="M1018" s="62"/>
      <c r="N1018" s="62"/>
      <c r="O1018" s="62">
        <f t="shared" si="176"/>
        <v>0</v>
      </c>
      <c r="P1018" s="63"/>
      <c r="Q1018" s="64">
        <f t="shared" si="177"/>
        <v>51067</v>
      </c>
      <c r="R1018" s="64">
        <f t="shared" si="178"/>
        <v>0</v>
      </c>
      <c r="S1018" s="64">
        <f t="shared" si="179"/>
        <v>51067</v>
      </c>
    </row>
    <row r="1019" spans="2:19" s="164" customFormat="1" x14ac:dyDescent="0.2">
      <c r="B1019" s="48">
        <f t="shared" si="173"/>
        <v>525</v>
      </c>
      <c r="C1019" s="11"/>
      <c r="D1019" s="11"/>
      <c r="E1019" s="11"/>
      <c r="F1019" s="65"/>
      <c r="G1019" s="10">
        <v>633</v>
      </c>
      <c r="H1019" s="11" t="s">
        <v>126</v>
      </c>
      <c r="I1019" s="66">
        <f>150+36978+1500+1500+280+7409</f>
        <v>47817</v>
      </c>
      <c r="J1019" s="66"/>
      <c r="K1019" s="66">
        <f t="shared" si="175"/>
        <v>47817</v>
      </c>
      <c r="L1019" s="66"/>
      <c r="M1019" s="66"/>
      <c r="N1019" s="66"/>
      <c r="O1019" s="66">
        <f t="shared" si="176"/>
        <v>0</v>
      </c>
      <c r="P1019" s="67"/>
      <c r="Q1019" s="68">
        <f t="shared" si="177"/>
        <v>47817</v>
      </c>
      <c r="R1019" s="68">
        <f t="shared" si="178"/>
        <v>0</v>
      </c>
      <c r="S1019" s="68">
        <f t="shared" si="179"/>
        <v>47817</v>
      </c>
    </row>
    <row r="1020" spans="2:19" x14ac:dyDescent="0.2">
      <c r="B1020" s="48">
        <f t="shared" si="173"/>
        <v>526</v>
      </c>
      <c r="C1020" s="11"/>
      <c r="D1020" s="11"/>
      <c r="E1020" s="11"/>
      <c r="F1020" s="65"/>
      <c r="G1020" s="10">
        <v>635</v>
      </c>
      <c r="H1020" s="11" t="s">
        <v>134</v>
      </c>
      <c r="I1020" s="66">
        <f>100+1900</f>
        <v>2000</v>
      </c>
      <c r="J1020" s="66"/>
      <c r="K1020" s="66">
        <f t="shared" si="175"/>
        <v>2000</v>
      </c>
      <c r="L1020" s="66"/>
      <c r="M1020" s="66"/>
      <c r="N1020" s="66"/>
      <c r="O1020" s="66">
        <f t="shared" si="176"/>
        <v>0</v>
      </c>
      <c r="P1020" s="67"/>
      <c r="Q1020" s="68">
        <f t="shared" si="177"/>
        <v>2000</v>
      </c>
      <c r="R1020" s="68">
        <f t="shared" si="178"/>
        <v>0</v>
      </c>
      <c r="S1020" s="68">
        <f t="shared" si="179"/>
        <v>2000</v>
      </c>
    </row>
    <row r="1021" spans="2:19" x14ac:dyDescent="0.2">
      <c r="B1021" s="48">
        <f t="shared" si="173"/>
        <v>527</v>
      </c>
      <c r="C1021" s="11"/>
      <c r="D1021" s="11"/>
      <c r="E1021" s="11"/>
      <c r="F1021" s="65"/>
      <c r="G1021" s="10">
        <v>637</v>
      </c>
      <c r="H1021" s="11" t="s">
        <v>123</v>
      </c>
      <c r="I1021" s="66">
        <f>484+100+666</f>
        <v>1250</v>
      </c>
      <c r="J1021" s="66"/>
      <c r="K1021" s="66">
        <f t="shared" si="175"/>
        <v>1250</v>
      </c>
      <c r="L1021" s="66"/>
      <c r="M1021" s="66"/>
      <c r="N1021" s="66"/>
      <c r="O1021" s="66">
        <f t="shared" si="176"/>
        <v>0</v>
      </c>
      <c r="P1021" s="67"/>
      <c r="Q1021" s="68">
        <f t="shared" si="177"/>
        <v>1250</v>
      </c>
      <c r="R1021" s="68">
        <f t="shared" si="178"/>
        <v>0</v>
      </c>
      <c r="S1021" s="68">
        <f t="shared" si="179"/>
        <v>1250</v>
      </c>
    </row>
    <row r="1022" spans="2:19" x14ac:dyDescent="0.2">
      <c r="B1022" s="48">
        <f t="shared" si="173"/>
        <v>528</v>
      </c>
      <c r="C1022" s="9"/>
      <c r="D1022" s="9"/>
      <c r="E1022" s="9"/>
      <c r="F1022" s="61" t="s">
        <v>161</v>
      </c>
      <c r="G1022" s="8">
        <v>640</v>
      </c>
      <c r="H1022" s="9" t="s">
        <v>130</v>
      </c>
      <c r="I1022" s="62">
        <v>450</v>
      </c>
      <c r="J1022" s="62"/>
      <c r="K1022" s="62">
        <f t="shared" si="175"/>
        <v>450</v>
      </c>
      <c r="L1022" s="62"/>
      <c r="M1022" s="62"/>
      <c r="N1022" s="62"/>
      <c r="O1022" s="62">
        <f t="shared" si="176"/>
        <v>0</v>
      </c>
      <c r="P1022" s="63"/>
      <c r="Q1022" s="64">
        <f t="shared" si="177"/>
        <v>450</v>
      </c>
      <c r="R1022" s="64">
        <f t="shared" si="178"/>
        <v>0</v>
      </c>
      <c r="S1022" s="64">
        <f t="shared" si="179"/>
        <v>450</v>
      </c>
    </row>
    <row r="1023" spans="2:19" x14ac:dyDescent="0.2">
      <c r="B1023" s="48">
        <f t="shared" si="173"/>
        <v>529</v>
      </c>
      <c r="C1023" s="184"/>
      <c r="D1023" s="184"/>
      <c r="E1023" s="184" t="s">
        <v>85</v>
      </c>
      <c r="F1023" s="185"/>
      <c r="G1023" s="185"/>
      <c r="H1023" s="184" t="s">
        <v>86</v>
      </c>
      <c r="I1023" s="186">
        <f>I1030+I1026+I1025+I1024</f>
        <v>148092</v>
      </c>
      <c r="J1023" s="186">
        <f>J1030+J1026+J1025+J1024</f>
        <v>0</v>
      </c>
      <c r="K1023" s="186">
        <f t="shared" si="175"/>
        <v>148092</v>
      </c>
      <c r="L1023" s="62"/>
      <c r="M1023" s="186">
        <f>M1031</f>
        <v>0</v>
      </c>
      <c r="N1023" s="186">
        <f>N1031</f>
        <v>10000</v>
      </c>
      <c r="O1023" s="186">
        <f t="shared" si="176"/>
        <v>10000</v>
      </c>
      <c r="P1023" s="63"/>
      <c r="Q1023" s="187">
        <f t="shared" si="177"/>
        <v>148092</v>
      </c>
      <c r="R1023" s="187">
        <f t="shared" si="178"/>
        <v>10000</v>
      </c>
      <c r="S1023" s="187">
        <f t="shared" si="179"/>
        <v>158092</v>
      </c>
    </row>
    <row r="1024" spans="2:19" x14ac:dyDescent="0.2">
      <c r="B1024" s="48">
        <f t="shared" si="173"/>
        <v>530</v>
      </c>
      <c r="C1024" s="9"/>
      <c r="D1024" s="9"/>
      <c r="E1024" s="9"/>
      <c r="F1024" s="61" t="s">
        <v>161</v>
      </c>
      <c r="G1024" s="8">
        <v>610</v>
      </c>
      <c r="H1024" s="9" t="s">
        <v>132</v>
      </c>
      <c r="I1024" s="62">
        <f>810+600+7147+41472</f>
        <v>50029</v>
      </c>
      <c r="J1024" s="62"/>
      <c r="K1024" s="62">
        <f t="shared" si="175"/>
        <v>50029</v>
      </c>
      <c r="L1024" s="62"/>
      <c r="M1024" s="62"/>
      <c r="N1024" s="62"/>
      <c r="O1024" s="62">
        <f t="shared" si="176"/>
        <v>0</v>
      </c>
      <c r="P1024" s="63"/>
      <c r="Q1024" s="64">
        <f t="shared" si="177"/>
        <v>50029</v>
      </c>
      <c r="R1024" s="64">
        <f t="shared" si="178"/>
        <v>0</v>
      </c>
      <c r="S1024" s="64">
        <f t="shared" si="179"/>
        <v>50029</v>
      </c>
    </row>
    <row r="1025" spans="2:19" x14ac:dyDescent="0.2">
      <c r="B1025" s="48">
        <f t="shared" si="173"/>
        <v>531</v>
      </c>
      <c r="C1025" s="9"/>
      <c r="D1025" s="9"/>
      <c r="E1025" s="9"/>
      <c r="F1025" s="61" t="s">
        <v>161</v>
      </c>
      <c r="G1025" s="8">
        <v>620</v>
      </c>
      <c r="H1025" s="9" t="s">
        <v>125</v>
      </c>
      <c r="I1025" s="62">
        <f>2376+500+1501+1001+400+7004+700+5003</f>
        <v>18485</v>
      </c>
      <c r="J1025" s="62"/>
      <c r="K1025" s="62">
        <f t="shared" si="175"/>
        <v>18485</v>
      </c>
      <c r="L1025" s="62"/>
      <c r="M1025" s="62"/>
      <c r="N1025" s="62"/>
      <c r="O1025" s="62">
        <f t="shared" si="176"/>
        <v>0</v>
      </c>
      <c r="P1025" s="63"/>
      <c r="Q1025" s="64">
        <f t="shared" si="177"/>
        <v>18485</v>
      </c>
      <c r="R1025" s="64">
        <f t="shared" si="178"/>
        <v>0</v>
      </c>
      <c r="S1025" s="64">
        <f t="shared" si="179"/>
        <v>18485</v>
      </c>
    </row>
    <row r="1026" spans="2:19" x14ac:dyDescent="0.2">
      <c r="B1026" s="48">
        <f t="shared" si="173"/>
        <v>532</v>
      </c>
      <c r="C1026" s="9"/>
      <c r="D1026" s="9"/>
      <c r="E1026" s="9"/>
      <c r="F1026" s="61" t="s">
        <v>161</v>
      </c>
      <c r="G1026" s="8">
        <v>630</v>
      </c>
      <c r="H1026" s="9" t="s">
        <v>122</v>
      </c>
      <c r="I1026" s="62">
        <f>I1029+I1028+I1027</f>
        <v>79128</v>
      </c>
      <c r="J1026" s="62">
        <f>J1029+J1028+J1027</f>
        <v>0</v>
      </c>
      <c r="K1026" s="62">
        <f t="shared" si="175"/>
        <v>79128</v>
      </c>
      <c r="L1026" s="62"/>
      <c r="M1026" s="62"/>
      <c r="N1026" s="62"/>
      <c r="O1026" s="62">
        <f t="shared" si="176"/>
        <v>0</v>
      </c>
      <c r="P1026" s="63"/>
      <c r="Q1026" s="64">
        <f t="shared" si="177"/>
        <v>79128</v>
      </c>
      <c r="R1026" s="64">
        <f t="shared" si="178"/>
        <v>0</v>
      </c>
      <c r="S1026" s="64">
        <f t="shared" si="179"/>
        <v>79128</v>
      </c>
    </row>
    <row r="1027" spans="2:19" x14ac:dyDescent="0.2">
      <c r="B1027" s="48">
        <f t="shared" si="173"/>
        <v>533</v>
      </c>
      <c r="C1027" s="11"/>
      <c r="D1027" s="11"/>
      <c r="E1027" s="11"/>
      <c r="F1027" s="65"/>
      <c r="G1027" s="10">
        <v>633</v>
      </c>
      <c r="H1027" s="11" t="s">
        <v>126</v>
      </c>
      <c r="I1027" s="66">
        <f>300+3500+56029+280+12039</f>
        <v>72148</v>
      </c>
      <c r="J1027" s="66"/>
      <c r="K1027" s="66">
        <f t="shared" si="175"/>
        <v>72148</v>
      </c>
      <c r="L1027" s="66"/>
      <c r="M1027" s="66"/>
      <c r="N1027" s="66"/>
      <c r="O1027" s="66">
        <f t="shared" si="176"/>
        <v>0</v>
      </c>
      <c r="P1027" s="67"/>
      <c r="Q1027" s="68">
        <f t="shared" si="177"/>
        <v>72148</v>
      </c>
      <c r="R1027" s="68">
        <f t="shared" si="178"/>
        <v>0</v>
      </c>
      <c r="S1027" s="68">
        <f t="shared" si="179"/>
        <v>72148</v>
      </c>
    </row>
    <row r="1028" spans="2:19" x14ac:dyDescent="0.2">
      <c r="B1028" s="48">
        <f t="shared" si="173"/>
        <v>534</v>
      </c>
      <c r="C1028" s="11"/>
      <c r="D1028" s="11"/>
      <c r="E1028" s="11"/>
      <c r="F1028" s="65"/>
      <c r="G1028" s="10">
        <v>635</v>
      </c>
      <c r="H1028" s="11" t="s">
        <v>134</v>
      </c>
      <c r="I1028" s="66">
        <f>100+5100</f>
        <v>5200</v>
      </c>
      <c r="J1028" s="66"/>
      <c r="K1028" s="66">
        <f t="shared" si="175"/>
        <v>5200</v>
      </c>
      <c r="L1028" s="66"/>
      <c r="M1028" s="66"/>
      <c r="N1028" s="66"/>
      <c r="O1028" s="66">
        <f t="shared" si="176"/>
        <v>0</v>
      </c>
      <c r="P1028" s="67"/>
      <c r="Q1028" s="68">
        <f t="shared" si="177"/>
        <v>5200</v>
      </c>
      <c r="R1028" s="68">
        <f t="shared" si="178"/>
        <v>0</v>
      </c>
      <c r="S1028" s="68">
        <f t="shared" si="179"/>
        <v>5200</v>
      </c>
    </row>
    <row r="1029" spans="2:19" x14ac:dyDescent="0.2">
      <c r="B1029" s="48">
        <f t="shared" ref="B1029:B1045" si="185">B1028+1</f>
        <v>535</v>
      </c>
      <c r="C1029" s="11"/>
      <c r="D1029" s="11"/>
      <c r="E1029" s="11"/>
      <c r="F1029" s="65"/>
      <c r="G1029" s="10">
        <v>637</v>
      </c>
      <c r="H1029" s="11" t="s">
        <v>123</v>
      </c>
      <c r="I1029" s="66">
        <f>750+1030</f>
        <v>1780</v>
      </c>
      <c r="J1029" s="66"/>
      <c r="K1029" s="66">
        <f t="shared" si="175"/>
        <v>1780</v>
      </c>
      <c r="L1029" s="66"/>
      <c r="M1029" s="66"/>
      <c r="N1029" s="66"/>
      <c r="O1029" s="66">
        <f t="shared" si="176"/>
        <v>0</v>
      </c>
      <c r="P1029" s="67"/>
      <c r="Q1029" s="68">
        <f t="shared" si="177"/>
        <v>1780</v>
      </c>
      <c r="R1029" s="68">
        <f t="shared" si="178"/>
        <v>0</v>
      </c>
      <c r="S1029" s="68">
        <f t="shared" si="179"/>
        <v>1780</v>
      </c>
    </row>
    <row r="1030" spans="2:19" x14ac:dyDescent="0.2">
      <c r="B1030" s="48">
        <f t="shared" si="185"/>
        <v>536</v>
      </c>
      <c r="C1030" s="9"/>
      <c r="D1030" s="9"/>
      <c r="E1030" s="9"/>
      <c r="F1030" s="61" t="s">
        <v>161</v>
      </c>
      <c r="G1030" s="8">
        <v>640</v>
      </c>
      <c r="H1030" s="9" t="s">
        <v>130</v>
      </c>
      <c r="I1030" s="62">
        <v>450</v>
      </c>
      <c r="J1030" s="62"/>
      <c r="K1030" s="62">
        <f t="shared" si="175"/>
        <v>450</v>
      </c>
      <c r="L1030" s="62"/>
      <c r="M1030" s="62"/>
      <c r="N1030" s="62"/>
      <c r="O1030" s="62">
        <f t="shared" si="176"/>
        <v>0</v>
      </c>
      <c r="P1030" s="63"/>
      <c r="Q1030" s="64">
        <f t="shared" si="177"/>
        <v>450</v>
      </c>
      <c r="R1030" s="64">
        <f t="shared" si="178"/>
        <v>0</v>
      </c>
      <c r="S1030" s="64">
        <f t="shared" si="179"/>
        <v>450</v>
      </c>
    </row>
    <row r="1031" spans="2:19" x14ac:dyDescent="0.2">
      <c r="B1031" s="48">
        <f t="shared" si="185"/>
        <v>537</v>
      </c>
      <c r="C1031" s="9"/>
      <c r="D1031" s="9"/>
      <c r="E1031" s="9"/>
      <c r="F1031" s="61" t="s">
        <v>161</v>
      </c>
      <c r="G1031" s="8">
        <v>710</v>
      </c>
      <c r="H1031" s="9" t="s">
        <v>176</v>
      </c>
      <c r="I1031" s="62"/>
      <c r="J1031" s="62"/>
      <c r="K1031" s="62">
        <f t="shared" si="175"/>
        <v>0</v>
      </c>
      <c r="L1031" s="62"/>
      <c r="M1031" s="62">
        <f>M1032</f>
        <v>0</v>
      </c>
      <c r="N1031" s="62">
        <f>N1032</f>
        <v>10000</v>
      </c>
      <c r="O1031" s="62">
        <f t="shared" si="176"/>
        <v>10000</v>
      </c>
      <c r="P1031" s="63"/>
      <c r="Q1031" s="68">
        <f t="shared" si="177"/>
        <v>0</v>
      </c>
      <c r="R1031" s="68">
        <f t="shared" si="178"/>
        <v>10000</v>
      </c>
      <c r="S1031" s="68">
        <f t="shared" si="179"/>
        <v>10000</v>
      </c>
    </row>
    <row r="1032" spans="2:19" x14ac:dyDescent="0.2">
      <c r="B1032" s="48">
        <f t="shared" si="185"/>
        <v>538</v>
      </c>
      <c r="C1032" s="9"/>
      <c r="D1032" s="9"/>
      <c r="E1032" s="9"/>
      <c r="F1032" s="61"/>
      <c r="G1032" s="10">
        <v>717</v>
      </c>
      <c r="H1032" s="11" t="s">
        <v>183</v>
      </c>
      <c r="I1032" s="62"/>
      <c r="J1032" s="62"/>
      <c r="K1032" s="62">
        <f t="shared" si="175"/>
        <v>0</v>
      </c>
      <c r="L1032" s="62"/>
      <c r="M1032" s="66">
        <f>M1033</f>
        <v>0</v>
      </c>
      <c r="N1032" s="66">
        <f>N1033</f>
        <v>10000</v>
      </c>
      <c r="O1032" s="66">
        <f t="shared" si="176"/>
        <v>10000</v>
      </c>
      <c r="P1032" s="63"/>
      <c r="Q1032" s="68">
        <f t="shared" si="177"/>
        <v>0</v>
      </c>
      <c r="R1032" s="68">
        <f t="shared" si="178"/>
        <v>10000</v>
      </c>
      <c r="S1032" s="68">
        <f t="shared" si="179"/>
        <v>10000</v>
      </c>
    </row>
    <row r="1033" spans="2:19" x14ac:dyDescent="0.2">
      <c r="B1033" s="48">
        <f t="shared" si="185"/>
        <v>539</v>
      </c>
      <c r="C1033" s="9"/>
      <c r="D1033" s="9"/>
      <c r="E1033" s="9"/>
      <c r="F1033" s="61"/>
      <c r="G1033" s="82"/>
      <c r="H1033" s="13" t="s">
        <v>664</v>
      </c>
      <c r="I1033" s="62"/>
      <c r="J1033" s="62"/>
      <c r="K1033" s="62">
        <f t="shared" si="175"/>
        <v>0</v>
      </c>
      <c r="L1033" s="62"/>
      <c r="M1033" s="83">
        <v>0</v>
      </c>
      <c r="N1033" s="83">
        <v>10000</v>
      </c>
      <c r="O1033" s="83">
        <f t="shared" si="176"/>
        <v>10000</v>
      </c>
      <c r="P1033" s="63"/>
      <c r="Q1033" s="85">
        <f t="shared" si="177"/>
        <v>0</v>
      </c>
      <c r="R1033" s="85">
        <f t="shared" si="178"/>
        <v>10000</v>
      </c>
      <c r="S1033" s="85">
        <f t="shared" si="179"/>
        <v>10000</v>
      </c>
    </row>
    <row r="1034" spans="2:19" x14ac:dyDescent="0.2">
      <c r="B1034" s="48">
        <f t="shared" si="185"/>
        <v>540</v>
      </c>
      <c r="C1034" s="184"/>
      <c r="D1034" s="184"/>
      <c r="E1034" s="184" t="s">
        <v>82</v>
      </c>
      <c r="F1034" s="185"/>
      <c r="G1034" s="185"/>
      <c r="H1034" s="184" t="s">
        <v>83</v>
      </c>
      <c r="I1034" s="186">
        <f>I1041+I1037+I1036+I1035</f>
        <v>158769</v>
      </c>
      <c r="J1034" s="186">
        <f>J1041+J1037+J1036+J1035</f>
        <v>0</v>
      </c>
      <c r="K1034" s="186">
        <f t="shared" si="175"/>
        <v>158769</v>
      </c>
      <c r="L1034" s="62"/>
      <c r="M1034" s="186"/>
      <c r="N1034" s="186"/>
      <c r="O1034" s="186">
        <f t="shared" si="176"/>
        <v>0</v>
      </c>
      <c r="P1034" s="63"/>
      <c r="Q1034" s="187">
        <f t="shared" si="177"/>
        <v>158769</v>
      </c>
      <c r="R1034" s="187">
        <f t="shared" si="178"/>
        <v>0</v>
      </c>
      <c r="S1034" s="187">
        <f t="shared" si="179"/>
        <v>158769</v>
      </c>
    </row>
    <row r="1035" spans="2:19" x14ac:dyDescent="0.2">
      <c r="B1035" s="48">
        <f t="shared" si="185"/>
        <v>541</v>
      </c>
      <c r="C1035" s="9"/>
      <c r="D1035" s="9"/>
      <c r="E1035" s="9"/>
      <c r="F1035" s="61" t="s">
        <v>161</v>
      </c>
      <c r="G1035" s="8">
        <v>610</v>
      </c>
      <c r="H1035" s="9" t="s">
        <v>132</v>
      </c>
      <c r="I1035" s="62">
        <f>894+840+8490+44100</f>
        <v>54324</v>
      </c>
      <c r="J1035" s="62"/>
      <c r="K1035" s="62">
        <f t="shared" si="175"/>
        <v>54324</v>
      </c>
      <c r="L1035" s="62"/>
      <c r="M1035" s="62"/>
      <c r="N1035" s="62"/>
      <c r="O1035" s="62">
        <f t="shared" si="176"/>
        <v>0</v>
      </c>
      <c r="P1035" s="63"/>
      <c r="Q1035" s="64">
        <f t="shared" si="177"/>
        <v>54324</v>
      </c>
      <c r="R1035" s="64">
        <f t="shared" si="178"/>
        <v>0</v>
      </c>
      <c r="S1035" s="64">
        <f t="shared" si="179"/>
        <v>54324</v>
      </c>
    </row>
    <row r="1036" spans="2:19" x14ac:dyDescent="0.2">
      <c r="B1036" s="48">
        <f t="shared" si="185"/>
        <v>542</v>
      </c>
      <c r="C1036" s="9"/>
      <c r="D1036" s="9"/>
      <c r="E1036" s="9"/>
      <c r="F1036" s="61" t="s">
        <v>161</v>
      </c>
      <c r="G1036" s="8">
        <v>620</v>
      </c>
      <c r="H1036" s="9" t="s">
        <v>125</v>
      </c>
      <c r="I1036" s="62">
        <f>2585+544+1633+1086+435+7619+762+5442</f>
        <v>20106</v>
      </c>
      <c r="J1036" s="62"/>
      <c r="K1036" s="62">
        <f t="shared" si="175"/>
        <v>20106</v>
      </c>
      <c r="L1036" s="62"/>
      <c r="M1036" s="62"/>
      <c r="N1036" s="62"/>
      <c r="O1036" s="62">
        <f t="shared" si="176"/>
        <v>0</v>
      </c>
      <c r="P1036" s="63"/>
      <c r="Q1036" s="64">
        <f t="shared" si="177"/>
        <v>20106</v>
      </c>
      <c r="R1036" s="64">
        <f t="shared" si="178"/>
        <v>0</v>
      </c>
      <c r="S1036" s="64">
        <f t="shared" si="179"/>
        <v>20106</v>
      </c>
    </row>
    <row r="1037" spans="2:19" x14ac:dyDescent="0.2">
      <c r="B1037" s="48">
        <f t="shared" si="185"/>
        <v>543</v>
      </c>
      <c r="C1037" s="9"/>
      <c r="D1037" s="9"/>
      <c r="E1037" s="9"/>
      <c r="F1037" s="61" t="s">
        <v>161</v>
      </c>
      <c r="G1037" s="8">
        <v>630</v>
      </c>
      <c r="H1037" s="9" t="s">
        <v>122</v>
      </c>
      <c r="I1037" s="62">
        <f>I1040+I1039+I1038</f>
        <v>83889</v>
      </c>
      <c r="J1037" s="62">
        <f>J1040+J1039+J1038</f>
        <v>0</v>
      </c>
      <c r="K1037" s="62">
        <f t="shared" si="175"/>
        <v>83889</v>
      </c>
      <c r="L1037" s="62"/>
      <c r="M1037" s="62"/>
      <c r="N1037" s="62"/>
      <c r="O1037" s="62">
        <f t="shared" si="176"/>
        <v>0</v>
      </c>
      <c r="P1037" s="63"/>
      <c r="Q1037" s="64">
        <f t="shared" si="177"/>
        <v>83889</v>
      </c>
      <c r="R1037" s="64">
        <f t="shared" si="178"/>
        <v>0</v>
      </c>
      <c r="S1037" s="64">
        <f t="shared" si="179"/>
        <v>83889</v>
      </c>
    </row>
    <row r="1038" spans="2:19" x14ac:dyDescent="0.2">
      <c r="B1038" s="48">
        <f t="shared" si="185"/>
        <v>544</v>
      </c>
      <c r="C1038" s="11"/>
      <c r="D1038" s="11"/>
      <c r="E1038" s="11"/>
      <c r="F1038" s="65"/>
      <c r="G1038" s="10">
        <v>633</v>
      </c>
      <c r="H1038" s="11" t="s">
        <v>126</v>
      </c>
      <c r="I1038" s="66">
        <f>200+250+500+59513+3500+2000+280+11731</f>
        <v>77974</v>
      </c>
      <c r="J1038" s="66"/>
      <c r="K1038" s="66">
        <f t="shared" si="175"/>
        <v>77974</v>
      </c>
      <c r="L1038" s="66"/>
      <c r="M1038" s="66"/>
      <c r="N1038" s="66"/>
      <c r="O1038" s="66">
        <f t="shared" si="176"/>
        <v>0</v>
      </c>
      <c r="P1038" s="67"/>
      <c r="Q1038" s="68">
        <f t="shared" si="177"/>
        <v>77974</v>
      </c>
      <c r="R1038" s="68">
        <f t="shared" si="178"/>
        <v>0</v>
      </c>
      <c r="S1038" s="68">
        <f t="shared" si="179"/>
        <v>77974</v>
      </c>
    </row>
    <row r="1039" spans="2:19" x14ac:dyDescent="0.2">
      <c r="B1039" s="48">
        <f t="shared" si="185"/>
        <v>545</v>
      </c>
      <c r="C1039" s="11"/>
      <c r="D1039" s="11"/>
      <c r="E1039" s="11"/>
      <c r="F1039" s="65"/>
      <c r="G1039" s="10">
        <v>635</v>
      </c>
      <c r="H1039" s="11" t="s">
        <v>134</v>
      </c>
      <c r="I1039" s="66">
        <f>1000+2500</f>
        <v>3500</v>
      </c>
      <c r="J1039" s="66"/>
      <c r="K1039" s="66">
        <f t="shared" si="175"/>
        <v>3500</v>
      </c>
      <c r="L1039" s="66"/>
      <c r="M1039" s="66"/>
      <c r="N1039" s="66"/>
      <c r="O1039" s="66">
        <f t="shared" si="176"/>
        <v>0</v>
      </c>
      <c r="P1039" s="67"/>
      <c r="Q1039" s="68">
        <f t="shared" si="177"/>
        <v>3500</v>
      </c>
      <c r="R1039" s="68">
        <f t="shared" si="178"/>
        <v>0</v>
      </c>
      <c r="S1039" s="68">
        <f t="shared" si="179"/>
        <v>3500</v>
      </c>
    </row>
    <row r="1040" spans="2:19" x14ac:dyDescent="0.2">
      <c r="B1040" s="48">
        <f t="shared" si="185"/>
        <v>546</v>
      </c>
      <c r="C1040" s="11"/>
      <c r="D1040" s="11"/>
      <c r="E1040" s="11"/>
      <c r="F1040" s="65"/>
      <c r="G1040" s="10">
        <v>637</v>
      </c>
      <c r="H1040" s="11" t="s">
        <v>123</v>
      </c>
      <c r="I1040" s="66">
        <f>100+815+1500</f>
        <v>2415</v>
      </c>
      <c r="J1040" s="66"/>
      <c r="K1040" s="66">
        <f t="shared" si="175"/>
        <v>2415</v>
      </c>
      <c r="L1040" s="66"/>
      <c r="M1040" s="66"/>
      <c r="N1040" s="66"/>
      <c r="O1040" s="66">
        <f t="shared" si="176"/>
        <v>0</v>
      </c>
      <c r="P1040" s="67"/>
      <c r="Q1040" s="68">
        <f t="shared" si="177"/>
        <v>2415</v>
      </c>
      <c r="R1040" s="68">
        <f t="shared" si="178"/>
        <v>0</v>
      </c>
      <c r="S1040" s="68">
        <f t="shared" si="179"/>
        <v>2415</v>
      </c>
    </row>
    <row r="1041" spans="2:19" x14ac:dyDescent="0.2">
      <c r="B1041" s="48">
        <f t="shared" si="185"/>
        <v>547</v>
      </c>
      <c r="C1041" s="9"/>
      <c r="D1041" s="9"/>
      <c r="E1041" s="9"/>
      <c r="F1041" s="61" t="s">
        <v>161</v>
      </c>
      <c r="G1041" s="8">
        <v>640</v>
      </c>
      <c r="H1041" s="9" t="s">
        <v>130</v>
      </c>
      <c r="I1041" s="62">
        <v>450</v>
      </c>
      <c r="J1041" s="62"/>
      <c r="K1041" s="62">
        <f t="shared" si="175"/>
        <v>450</v>
      </c>
      <c r="L1041" s="62"/>
      <c r="M1041" s="62"/>
      <c r="N1041" s="62"/>
      <c r="O1041" s="62">
        <f t="shared" si="176"/>
        <v>0</v>
      </c>
      <c r="P1041" s="63"/>
      <c r="Q1041" s="64">
        <f t="shared" si="177"/>
        <v>450</v>
      </c>
      <c r="R1041" s="64">
        <f t="shared" si="178"/>
        <v>0</v>
      </c>
      <c r="S1041" s="64">
        <f t="shared" si="179"/>
        <v>450</v>
      </c>
    </row>
    <row r="1042" spans="2:19" x14ac:dyDescent="0.2">
      <c r="B1042" s="48">
        <f t="shared" si="185"/>
        <v>548</v>
      </c>
      <c r="C1042" s="184"/>
      <c r="D1042" s="184"/>
      <c r="E1042" s="184" t="s">
        <v>102</v>
      </c>
      <c r="F1042" s="185"/>
      <c r="G1042" s="185"/>
      <c r="H1042" s="184" t="s">
        <v>103</v>
      </c>
      <c r="I1042" s="186">
        <f>I1049+I1045+I1044+I1043</f>
        <v>93604</v>
      </c>
      <c r="J1042" s="186">
        <f>J1049+J1045+J1044+J1043</f>
        <v>0</v>
      </c>
      <c r="K1042" s="186">
        <f t="shared" si="175"/>
        <v>93604</v>
      </c>
      <c r="L1042" s="62"/>
      <c r="M1042" s="186"/>
      <c r="N1042" s="186"/>
      <c r="O1042" s="186">
        <f t="shared" si="176"/>
        <v>0</v>
      </c>
      <c r="P1042" s="63"/>
      <c r="Q1042" s="187">
        <f t="shared" si="177"/>
        <v>93604</v>
      </c>
      <c r="R1042" s="187">
        <f t="shared" si="178"/>
        <v>0</v>
      </c>
      <c r="S1042" s="187">
        <f t="shared" si="179"/>
        <v>93604</v>
      </c>
    </row>
    <row r="1043" spans="2:19" x14ac:dyDescent="0.2">
      <c r="B1043" s="48">
        <f t="shared" si="185"/>
        <v>549</v>
      </c>
      <c r="C1043" s="9"/>
      <c r="D1043" s="9"/>
      <c r="E1043" s="9"/>
      <c r="F1043" s="61" t="s">
        <v>161</v>
      </c>
      <c r="G1043" s="8">
        <v>610</v>
      </c>
      <c r="H1043" s="9" t="s">
        <v>132</v>
      </c>
      <c r="I1043" s="62">
        <f>810+600+4612+26259</f>
        <v>32281</v>
      </c>
      <c r="J1043" s="62"/>
      <c r="K1043" s="62">
        <f t="shared" si="175"/>
        <v>32281</v>
      </c>
      <c r="L1043" s="62"/>
      <c r="M1043" s="62"/>
      <c r="N1043" s="62"/>
      <c r="O1043" s="62">
        <f t="shared" si="176"/>
        <v>0</v>
      </c>
      <c r="P1043" s="63"/>
      <c r="Q1043" s="64">
        <f t="shared" si="177"/>
        <v>32281</v>
      </c>
      <c r="R1043" s="64">
        <f t="shared" si="178"/>
        <v>0</v>
      </c>
      <c r="S1043" s="64">
        <f t="shared" si="179"/>
        <v>32281</v>
      </c>
    </row>
    <row r="1044" spans="2:19" x14ac:dyDescent="0.2">
      <c r="B1044" s="48">
        <f t="shared" si="185"/>
        <v>550</v>
      </c>
      <c r="C1044" s="9"/>
      <c r="D1044" s="9"/>
      <c r="E1044" s="9"/>
      <c r="F1044" s="61" t="s">
        <v>161</v>
      </c>
      <c r="G1044" s="8">
        <v>620</v>
      </c>
      <c r="H1044" s="9" t="s">
        <v>125</v>
      </c>
      <c r="I1044" s="62">
        <f>1538+322+971+646+259+4533+453+3238</f>
        <v>11960</v>
      </c>
      <c r="J1044" s="62"/>
      <c r="K1044" s="62">
        <f t="shared" si="175"/>
        <v>11960</v>
      </c>
      <c r="L1044" s="62"/>
      <c r="M1044" s="62"/>
      <c r="N1044" s="62"/>
      <c r="O1044" s="62">
        <f t="shared" si="176"/>
        <v>0</v>
      </c>
      <c r="P1044" s="63"/>
      <c r="Q1044" s="64">
        <f t="shared" si="177"/>
        <v>11960</v>
      </c>
      <c r="R1044" s="64">
        <f t="shared" si="178"/>
        <v>0</v>
      </c>
      <c r="S1044" s="64">
        <f t="shared" si="179"/>
        <v>11960</v>
      </c>
    </row>
    <row r="1045" spans="2:19" x14ac:dyDescent="0.2">
      <c r="B1045" s="48">
        <f t="shared" si="185"/>
        <v>551</v>
      </c>
      <c r="C1045" s="9"/>
      <c r="D1045" s="9"/>
      <c r="E1045" s="9"/>
      <c r="F1045" s="61" t="s">
        <v>161</v>
      </c>
      <c r="G1045" s="8">
        <v>630</v>
      </c>
      <c r="H1045" s="9" t="s">
        <v>122</v>
      </c>
      <c r="I1045" s="62">
        <f>I1048+I1047+I1046</f>
        <v>48913</v>
      </c>
      <c r="J1045" s="62">
        <f>J1048+J1047+J1046</f>
        <v>0</v>
      </c>
      <c r="K1045" s="62">
        <f t="shared" si="175"/>
        <v>48913</v>
      </c>
      <c r="L1045" s="62"/>
      <c r="M1045" s="62"/>
      <c r="N1045" s="62"/>
      <c r="O1045" s="62">
        <f t="shared" si="176"/>
        <v>0</v>
      </c>
      <c r="P1045" s="63"/>
      <c r="Q1045" s="64">
        <f t="shared" si="177"/>
        <v>48913</v>
      </c>
      <c r="R1045" s="64">
        <f t="shared" si="178"/>
        <v>0</v>
      </c>
      <c r="S1045" s="64">
        <f t="shared" si="179"/>
        <v>48913</v>
      </c>
    </row>
    <row r="1046" spans="2:19" x14ac:dyDescent="0.2">
      <c r="B1046" s="48">
        <f t="shared" ref="B1046:B1095" si="186">B1045+1</f>
        <v>552</v>
      </c>
      <c r="C1046" s="11"/>
      <c r="D1046" s="11"/>
      <c r="E1046" s="11"/>
      <c r="F1046" s="65"/>
      <c r="G1046" s="10">
        <v>633</v>
      </c>
      <c r="H1046" s="11" t="s">
        <v>126</v>
      </c>
      <c r="I1046" s="66">
        <f>100+2000+34818+1500+280+5865</f>
        <v>44563</v>
      </c>
      <c r="J1046" s="66"/>
      <c r="K1046" s="66">
        <f t="shared" si="175"/>
        <v>44563</v>
      </c>
      <c r="L1046" s="66"/>
      <c r="M1046" s="66"/>
      <c r="N1046" s="66"/>
      <c r="O1046" s="66">
        <f t="shared" si="176"/>
        <v>0</v>
      </c>
      <c r="P1046" s="67"/>
      <c r="Q1046" s="68">
        <f t="shared" si="177"/>
        <v>44563</v>
      </c>
      <c r="R1046" s="68">
        <f t="shared" si="178"/>
        <v>0</v>
      </c>
      <c r="S1046" s="68">
        <f t="shared" si="179"/>
        <v>44563</v>
      </c>
    </row>
    <row r="1047" spans="2:19" x14ac:dyDescent="0.2">
      <c r="B1047" s="48">
        <f t="shared" si="186"/>
        <v>553</v>
      </c>
      <c r="C1047" s="11"/>
      <c r="D1047" s="11"/>
      <c r="E1047" s="11"/>
      <c r="F1047" s="65"/>
      <c r="G1047" s="10">
        <v>635</v>
      </c>
      <c r="H1047" s="11" t="s">
        <v>134</v>
      </c>
      <c r="I1047" s="66">
        <f>100+2900</f>
        <v>3000</v>
      </c>
      <c r="J1047" s="66"/>
      <c r="K1047" s="66">
        <f t="shared" si="175"/>
        <v>3000</v>
      </c>
      <c r="L1047" s="66"/>
      <c r="M1047" s="66"/>
      <c r="N1047" s="66"/>
      <c r="O1047" s="66">
        <f t="shared" si="176"/>
        <v>0</v>
      </c>
      <c r="P1047" s="67"/>
      <c r="Q1047" s="68">
        <f t="shared" si="177"/>
        <v>3000</v>
      </c>
      <c r="R1047" s="68">
        <f t="shared" si="178"/>
        <v>0</v>
      </c>
      <c r="S1047" s="68">
        <f t="shared" si="179"/>
        <v>3000</v>
      </c>
    </row>
    <row r="1048" spans="2:19" s="164" customFormat="1" x14ac:dyDescent="0.2">
      <c r="B1048" s="48">
        <f t="shared" si="186"/>
        <v>554</v>
      </c>
      <c r="C1048" s="11"/>
      <c r="D1048" s="11"/>
      <c r="E1048" s="11"/>
      <c r="F1048" s="65"/>
      <c r="G1048" s="10">
        <v>637</v>
      </c>
      <c r="H1048" s="11" t="s">
        <v>123</v>
      </c>
      <c r="I1048" s="66">
        <f>100+490+760</f>
        <v>1350</v>
      </c>
      <c r="J1048" s="66"/>
      <c r="K1048" s="66">
        <f t="shared" si="175"/>
        <v>1350</v>
      </c>
      <c r="L1048" s="66"/>
      <c r="M1048" s="66"/>
      <c r="N1048" s="66"/>
      <c r="O1048" s="66">
        <f t="shared" si="176"/>
        <v>0</v>
      </c>
      <c r="P1048" s="67"/>
      <c r="Q1048" s="68">
        <f t="shared" si="177"/>
        <v>1350</v>
      </c>
      <c r="R1048" s="68">
        <f t="shared" si="178"/>
        <v>0</v>
      </c>
      <c r="S1048" s="68">
        <f t="shared" si="179"/>
        <v>1350</v>
      </c>
    </row>
    <row r="1049" spans="2:19" s="164" customFormat="1" x14ac:dyDescent="0.2">
      <c r="B1049" s="48">
        <f t="shared" si="186"/>
        <v>555</v>
      </c>
      <c r="C1049" s="9"/>
      <c r="D1049" s="9"/>
      <c r="E1049" s="9"/>
      <c r="F1049" s="61" t="s">
        <v>161</v>
      </c>
      <c r="G1049" s="8">
        <v>640</v>
      </c>
      <c r="H1049" s="9" t="s">
        <v>130</v>
      </c>
      <c r="I1049" s="62">
        <v>450</v>
      </c>
      <c r="J1049" s="62"/>
      <c r="K1049" s="62">
        <f t="shared" si="175"/>
        <v>450</v>
      </c>
      <c r="L1049" s="62"/>
      <c r="M1049" s="62"/>
      <c r="N1049" s="62"/>
      <c r="O1049" s="62">
        <f t="shared" si="176"/>
        <v>0</v>
      </c>
      <c r="P1049" s="63"/>
      <c r="Q1049" s="64">
        <f t="shared" si="177"/>
        <v>450</v>
      </c>
      <c r="R1049" s="64">
        <f t="shared" si="178"/>
        <v>0</v>
      </c>
      <c r="S1049" s="64">
        <f t="shared" si="179"/>
        <v>450</v>
      </c>
    </row>
    <row r="1050" spans="2:19" s="164" customFormat="1" x14ac:dyDescent="0.2">
      <c r="B1050" s="48">
        <f t="shared" si="186"/>
        <v>556</v>
      </c>
      <c r="C1050" s="184"/>
      <c r="D1050" s="184"/>
      <c r="E1050" s="184" t="s">
        <v>101</v>
      </c>
      <c r="F1050" s="185"/>
      <c r="G1050" s="185"/>
      <c r="H1050" s="184" t="s">
        <v>61</v>
      </c>
      <c r="I1050" s="186">
        <f>I1057+I1053+I1052+I1051</f>
        <v>137307</v>
      </c>
      <c r="J1050" s="186">
        <f>J1057+J1053+J1052+J1051</f>
        <v>0</v>
      </c>
      <c r="K1050" s="186">
        <f t="shared" si="175"/>
        <v>137307</v>
      </c>
      <c r="L1050" s="62"/>
      <c r="M1050" s="186"/>
      <c r="N1050" s="186"/>
      <c r="O1050" s="186">
        <f t="shared" si="176"/>
        <v>0</v>
      </c>
      <c r="P1050" s="63"/>
      <c r="Q1050" s="187">
        <f t="shared" si="177"/>
        <v>137307</v>
      </c>
      <c r="R1050" s="187">
        <f t="shared" si="178"/>
        <v>0</v>
      </c>
      <c r="S1050" s="187">
        <f t="shared" si="179"/>
        <v>137307</v>
      </c>
    </row>
    <row r="1051" spans="2:19" x14ac:dyDescent="0.2">
      <c r="B1051" s="48">
        <f t="shared" si="186"/>
        <v>557</v>
      </c>
      <c r="C1051" s="9"/>
      <c r="D1051" s="9"/>
      <c r="E1051" s="9"/>
      <c r="F1051" s="61" t="s">
        <v>161</v>
      </c>
      <c r="G1051" s="8">
        <v>610</v>
      </c>
      <c r="H1051" s="9" t="s">
        <v>132</v>
      </c>
      <c r="I1051" s="62">
        <f>768+480+6050+35052</f>
        <v>42350</v>
      </c>
      <c r="J1051" s="62"/>
      <c r="K1051" s="62">
        <f t="shared" si="175"/>
        <v>42350</v>
      </c>
      <c r="L1051" s="62"/>
      <c r="M1051" s="62"/>
      <c r="N1051" s="62"/>
      <c r="O1051" s="62">
        <f t="shared" si="176"/>
        <v>0</v>
      </c>
      <c r="P1051" s="63"/>
      <c r="Q1051" s="64">
        <f t="shared" si="177"/>
        <v>42350</v>
      </c>
      <c r="R1051" s="64">
        <f t="shared" si="178"/>
        <v>0</v>
      </c>
      <c r="S1051" s="64">
        <f t="shared" si="179"/>
        <v>42350</v>
      </c>
    </row>
    <row r="1052" spans="2:19" x14ac:dyDescent="0.2">
      <c r="B1052" s="48">
        <f t="shared" si="186"/>
        <v>558</v>
      </c>
      <c r="C1052" s="9"/>
      <c r="D1052" s="9"/>
      <c r="E1052" s="9"/>
      <c r="F1052" s="61" t="s">
        <v>161</v>
      </c>
      <c r="G1052" s="8">
        <v>620</v>
      </c>
      <c r="H1052" s="9" t="s">
        <v>125</v>
      </c>
      <c r="I1052" s="62">
        <f>2097+442+1325+847+353+6181+618+4415</f>
        <v>16278</v>
      </c>
      <c r="J1052" s="62"/>
      <c r="K1052" s="62">
        <f t="shared" si="175"/>
        <v>16278</v>
      </c>
      <c r="L1052" s="62"/>
      <c r="M1052" s="62"/>
      <c r="N1052" s="62"/>
      <c r="O1052" s="62">
        <f t="shared" si="176"/>
        <v>0</v>
      </c>
      <c r="P1052" s="63"/>
      <c r="Q1052" s="64">
        <f t="shared" si="177"/>
        <v>16278</v>
      </c>
      <c r="R1052" s="64">
        <f t="shared" si="178"/>
        <v>0</v>
      </c>
      <c r="S1052" s="64">
        <f t="shared" si="179"/>
        <v>16278</v>
      </c>
    </row>
    <row r="1053" spans="2:19" x14ac:dyDescent="0.2">
      <c r="B1053" s="48">
        <f t="shared" si="186"/>
        <v>559</v>
      </c>
      <c r="C1053" s="9"/>
      <c r="D1053" s="9"/>
      <c r="E1053" s="9"/>
      <c r="F1053" s="61" t="s">
        <v>161</v>
      </c>
      <c r="G1053" s="8">
        <v>630</v>
      </c>
      <c r="H1053" s="9" t="s">
        <v>122</v>
      </c>
      <c r="I1053" s="62">
        <f>I1056+I1055+I1054</f>
        <v>76427</v>
      </c>
      <c r="J1053" s="62">
        <f>J1056+J1055+J1054</f>
        <v>0</v>
      </c>
      <c r="K1053" s="62">
        <f t="shared" si="175"/>
        <v>76427</v>
      </c>
      <c r="L1053" s="62"/>
      <c r="M1053" s="62"/>
      <c r="N1053" s="62"/>
      <c r="O1053" s="62">
        <f t="shared" si="176"/>
        <v>0</v>
      </c>
      <c r="P1053" s="63"/>
      <c r="Q1053" s="64">
        <f t="shared" si="177"/>
        <v>76427</v>
      </c>
      <c r="R1053" s="64">
        <f t="shared" si="178"/>
        <v>0</v>
      </c>
      <c r="S1053" s="64">
        <f t="shared" si="179"/>
        <v>76427</v>
      </c>
    </row>
    <row r="1054" spans="2:19" x14ac:dyDescent="0.2">
      <c r="B1054" s="48">
        <f t="shared" si="186"/>
        <v>560</v>
      </c>
      <c r="C1054" s="11"/>
      <c r="D1054" s="11"/>
      <c r="E1054" s="11"/>
      <c r="F1054" s="65"/>
      <c r="G1054" s="10">
        <v>633</v>
      </c>
      <c r="H1054" s="11" t="s">
        <v>126</v>
      </c>
      <c r="I1054" s="66">
        <f>50+54287+4450+2000+10805+280</f>
        <v>71872</v>
      </c>
      <c r="J1054" s="66"/>
      <c r="K1054" s="66">
        <f t="shared" si="175"/>
        <v>71872</v>
      </c>
      <c r="L1054" s="66"/>
      <c r="M1054" s="66"/>
      <c r="N1054" s="66"/>
      <c r="O1054" s="66">
        <f t="shared" si="176"/>
        <v>0</v>
      </c>
      <c r="P1054" s="67"/>
      <c r="Q1054" s="68">
        <f t="shared" si="177"/>
        <v>71872</v>
      </c>
      <c r="R1054" s="68">
        <f t="shared" si="178"/>
        <v>0</v>
      </c>
      <c r="S1054" s="68">
        <f t="shared" si="179"/>
        <v>71872</v>
      </c>
    </row>
    <row r="1055" spans="2:19" x14ac:dyDescent="0.2">
      <c r="B1055" s="48">
        <f t="shared" si="186"/>
        <v>561</v>
      </c>
      <c r="C1055" s="11"/>
      <c r="D1055" s="11"/>
      <c r="E1055" s="11"/>
      <c r="F1055" s="65"/>
      <c r="G1055" s="10">
        <v>635</v>
      </c>
      <c r="H1055" s="11" t="s">
        <v>134</v>
      </c>
      <c r="I1055" s="66">
        <f>500+2500</f>
        <v>3000</v>
      </c>
      <c r="J1055" s="66"/>
      <c r="K1055" s="66">
        <f t="shared" si="175"/>
        <v>3000</v>
      </c>
      <c r="L1055" s="66"/>
      <c r="M1055" s="66"/>
      <c r="N1055" s="66"/>
      <c r="O1055" s="66">
        <f t="shared" si="176"/>
        <v>0</v>
      </c>
      <c r="P1055" s="67"/>
      <c r="Q1055" s="68">
        <f t="shared" si="177"/>
        <v>3000</v>
      </c>
      <c r="R1055" s="68">
        <f t="shared" si="178"/>
        <v>0</v>
      </c>
      <c r="S1055" s="68">
        <f t="shared" si="179"/>
        <v>3000</v>
      </c>
    </row>
    <row r="1056" spans="2:19" x14ac:dyDescent="0.2">
      <c r="B1056" s="48">
        <f t="shared" si="186"/>
        <v>562</v>
      </c>
      <c r="C1056" s="11"/>
      <c r="D1056" s="11"/>
      <c r="E1056" s="11"/>
      <c r="F1056" s="65"/>
      <c r="G1056" s="10">
        <v>637</v>
      </c>
      <c r="H1056" s="11" t="s">
        <v>123</v>
      </c>
      <c r="I1056" s="66">
        <f>635+920</f>
        <v>1555</v>
      </c>
      <c r="J1056" s="66"/>
      <c r="K1056" s="66">
        <f t="shared" si="175"/>
        <v>1555</v>
      </c>
      <c r="L1056" s="66"/>
      <c r="M1056" s="66"/>
      <c r="N1056" s="66"/>
      <c r="O1056" s="66">
        <f t="shared" si="176"/>
        <v>0</v>
      </c>
      <c r="P1056" s="67"/>
      <c r="Q1056" s="68">
        <f t="shared" si="177"/>
        <v>1555</v>
      </c>
      <c r="R1056" s="68">
        <f t="shared" si="178"/>
        <v>0</v>
      </c>
      <c r="S1056" s="68">
        <f t="shared" si="179"/>
        <v>1555</v>
      </c>
    </row>
    <row r="1057" spans="2:19" x14ac:dyDescent="0.2">
      <c r="B1057" s="48">
        <f t="shared" si="186"/>
        <v>563</v>
      </c>
      <c r="C1057" s="9"/>
      <c r="D1057" s="9"/>
      <c r="E1057" s="9"/>
      <c r="F1057" s="61" t="s">
        <v>161</v>
      </c>
      <c r="G1057" s="8">
        <v>640</v>
      </c>
      <c r="H1057" s="9" t="s">
        <v>130</v>
      </c>
      <c r="I1057" s="62">
        <f>450+1802</f>
        <v>2252</v>
      </c>
      <c r="J1057" s="62"/>
      <c r="K1057" s="62">
        <f t="shared" si="175"/>
        <v>2252</v>
      </c>
      <c r="L1057" s="62"/>
      <c r="M1057" s="62"/>
      <c r="N1057" s="62"/>
      <c r="O1057" s="62">
        <f t="shared" si="176"/>
        <v>0</v>
      </c>
      <c r="P1057" s="63"/>
      <c r="Q1057" s="64">
        <f t="shared" si="177"/>
        <v>2252</v>
      </c>
      <c r="R1057" s="64">
        <f t="shared" si="178"/>
        <v>0</v>
      </c>
      <c r="S1057" s="64">
        <f t="shared" si="179"/>
        <v>2252</v>
      </c>
    </row>
    <row r="1058" spans="2:19" x14ac:dyDescent="0.2">
      <c r="B1058" s="48">
        <f t="shared" si="186"/>
        <v>564</v>
      </c>
      <c r="C1058" s="184"/>
      <c r="D1058" s="184"/>
      <c r="E1058" s="184" t="s">
        <v>97</v>
      </c>
      <c r="F1058" s="185"/>
      <c r="G1058" s="185"/>
      <c r="H1058" s="184" t="s">
        <v>66</v>
      </c>
      <c r="I1058" s="186">
        <f>I1065+I1061+I1060+I1059</f>
        <v>137027</v>
      </c>
      <c r="J1058" s="186">
        <f>J1065+J1061+J1060+J1059</f>
        <v>0</v>
      </c>
      <c r="K1058" s="186">
        <f t="shared" si="175"/>
        <v>137027</v>
      </c>
      <c r="L1058" s="62"/>
      <c r="M1058" s="186"/>
      <c r="N1058" s="186"/>
      <c r="O1058" s="186">
        <f t="shared" si="176"/>
        <v>0</v>
      </c>
      <c r="P1058" s="63"/>
      <c r="Q1058" s="187">
        <f t="shared" si="177"/>
        <v>137027</v>
      </c>
      <c r="R1058" s="187">
        <f t="shared" si="178"/>
        <v>0</v>
      </c>
      <c r="S1058" s="187">
        <f t="shared" si="179"/>
        <v>137027</v>
      </c>
    </row>
    <row r="1059" spans="2:19" x14ac:dyDescent="0.2">
      <c r="B1059" s="48">
        <f t="shared" si="186"/>
        <v>565</v>
      </c>
      <c r="C1059" s="9"/>
      <c r="D1059" s="9"/>
      <c r="E1059" s="9"/>
      <c r="F1059" s="61" t="s">
        <v>161</v>
      </c>
      <c r="G1059" s="8">
        <v>610</v>
      </c>
      <c r="H1059" s="9" t="s">
        <v>132</v>
      </c>
      <c r="I1059" s="62">
        <f>768+480+6919+35262</f>
        <v>43429</v>
      </c>
      <c r="J1059" s="62"/>
      <c r="K1059" s="62">
        <f t="shared" si="175"/>
        <v>43429</v>
      </c>
      <c r="L1059" s="62"/>
      <c r="M1059" s="62"/>
      <c r="N1059" s="62"/>
      <c r="O1059" s="62">
        <f t="shared" si="176"/>
        <v>0</v>
      </c>
      <c r="P1059" s="63"/>
      <c r="Q1059" s="64">
        <f t="shared" si="177"/>
        <v>43429</v>
      </c>
      <c r="R1059" s="64">
        <f t="shared" si="178"/>
        <v>0</v>
      </c>
      <c r="S1059" s="64">
        <f t="shared" si="179"/>
        <v>43429</v>
      </c>
    </row>
    <row r="1060" spans="2:19" x14ac:dyDescent="0.2">
      <c r="B1060" s="48">
        <f t="shared" si="186"/>
        <v>566</v>
      </c>
      <c r="C1060" s="9"/>
      <c r="D1060" s="9"/>
      <c r="E1060" s="9"/>
      <c r="F1060" s="61" t="s">
        <v>161</v>
      </c>
      <c r="G1060" s="8">
        <v>620</v>
      </c>
      <c r="H1060" s="9" t="s">
        <v>125</v>
      </c>
      <c r="I1060" s="62">
        <f>2068+434+1306+869+348+6094+609+4353</f>
        <v>16081</v>
      </c>
      <c r="J1060" s="62"/>
      <c r="K1060" s="62">
        <f t="shared" si="175"/>
        <v>16081</v>
      </c>
      <c r="L1060" s="62"/>
      <c r="M1060" s="62"/>
      <c r="N1060" s="62"/>
      <c r="O1060" s="62">
        <f t="shared" si="176"/>
        <v>0</v>
      </c>
      <c r="P1060" s="63"/>
      <c r="Q1060" s="64">
        <f t="shared" si="177"/>
        <v>16081</v>
      </c>
      <c r="R1060" s="64">
        <f t="shared" si="178"/>
        <v>0</v>
      </c>
      <c r="S1060" s="64">
        <f t="shared" si="179"/>
        <v>16081</v>
      </c>
    </row>
    <row r="1061" spans="2:19" x14ac:dyDescent="0.2">
      <c r="B1061" s="48">
        <f t="shared" si="186"/>
        <v>567</v>
      </c>
      <c r="C1061" s="9"/>
      <c r="D1061" s="9"/>
      <c r="E1061" s="9"/>
      <c r="F1061" s="61" t="s">
        <v>161</v>
      </c>
      <c r="G1061" s="8">
        <v>630</v>
      </c>
      <c r="H1061" s="9" t="s">
        <v>122</v>
      </c>
      <c r="I1061" s="62">
        <f>I1064+I1063+I1062</f>
        <v>77067</v>
      </c>
      <c r="J1061" s="62">
        <f>J1064+J1063+J1062</f>
        <v>0</v>
      </c>
      <c r="K1061" s="62">
        <f t="shared" si="175"/>
        <v>77067</v>
      </c>
      <c r="L1061" s="62"/>
      <c r="M1061" s="62"/>
      <c r="N1061" s="62"/>
      <c r="O1061" s="62">
        <f t="shared" si="176"/>
        <v>0</v>
      </c>
      <c r="P1061" s="63"/>
      <c r="Q1061" s="64">
        <f t="shared" si="177"/>
        <v>77067</v>
      </c>
      <c r="R1061" s="64">
        <f t="shared" si="178"/>
        <v>0</v>
      </c>
      <c r="S1061" s="64">
        <f t="shared" si="179"/>
        <v>77067</v>
      </c>
    </row>
    <row r="1062" spans="2:19" x14ac:dyDescent="0.2">
      <c r="B1062" s="48">
        <f t="shared" si="186"/>
        <v>568</v>
      </c>
      <c r="C1062" s="11"/>
      <c r="D1062" s="11"/>
      <c r="E1062" s="11"/>
      <c r="F1062" s="65"/>
      <c r="G1062" s="10">
        <v>633</v>
      </c>
      <c r="H1062" s="11" t="s">
        <v>126</v>
      </c>
      <c r="I1062" s="66">
        <f>900+100+53493+2200+280+14509</f>
        <v>71482</v>
      </c>
      <c r="J1062" s="66"/>
      <c r="K1062" s="66">
        <f t="shared" si="175"/>
        <v>71482</v>
      </c>
      <c r="L1062" s="66"/>
      <c r="M1062" s="66"/>
      <c r="N1062" s="66"/>
      <c r="O1062" s="66">
        <f t="shared" si="176"/>
        <v>0</v>
      </c>
      <c r="P1062" s="67"/>
      <c r="Q1062" s="68">
        <f t="shared" si="177"/>
        <v>71482</v>
      </c>
      <c r="R1062" s="68">
        <f t="shared" si="178"/>
        <v>0</v>
      </c>
      <c r="S1062" s="68">
        <f t="shared" si="179"/>
        <v>71482</v>
      </c>
    </row>
    <row r="1063" spans="2:19" x14ac:dyDescent="0.2">
      <c r="B1063" s="48">
        <f t="shared" si="186"/>
        <v>569</v>
      </c>
      <c r="C1063" s="11"/>
      <c r="D1063" s="11"/>
      <c r="E1063" s="11"/>
      <c r="F1063" s="65"/>
      <c r="G1063" s="10">
        <v>635</v>
      </c>
      <c r="H1063" s="11" t="s">
        <v>134</v>
      </c>
      <c r="I1063" s="66">
        <f>100+2400</f>
        <v>2500</v>
      </c>
      <c r="J1063" s="66"/>
      <c r="K1063" s="66">
        <f t="shared" si="175"/>
        <v>2500</v>
      </c>
      <c r="L1063" s="66"/>
      <c r="M1063" s="66"/>
      <c r="N1063" s="66"/>
      <c r="O1063" s="66">
        <f t="shared" si="176"/>
        <v>0</v>
      </c>
      <c r="P1063" s="67"/>
      <c r="Q1063" s="68">
        <f t="shared" si="177"/>
        <v>2500</v>
      </c>
      <c r="R1063" s="68">
        <f t="shared" si="178"/>
        <v>0</v>
      </c>
      <c r="S1063" s="68">
        <f t="shared" si="179"/>
        <v>2500</v>
      </c>
    </row>
    <row r="1064" spans="2:19" x14ac:dyDescent="0.2">
      <c r="B1064" s="48">
        <f t="shared" si="186"/>
        <v>570</v>
      </c>
      <c r="C1064" s="11"/>
      <c r="D1064" s="11"/>
      <c r="E1064" s="11"/>
      <c r="F1064" s="65"/>
      <c r="G1064" s="10">
        <v>637</v>
      </c>
      <c r="H1064" s="11" t="s">
        <v>123</v>
      </c>
      <c r="I1064" s="66">
        <f>652+103+2330</f>
        <v>3085</v>
      </c>
      <c r="J1064" s="66"/>
      <c r="K1064" s="66">
        <f t="shared" si="175"/>
        <v>3085</v>
      </c>
      <c r="L1064" s="66"/>
      <c r="M1064" s="66"/>
      <c r="N1064" s="66"/>
      <c r="O1064" s="66">
        <f t="shared" si="176"/>
        <v>0</v>
      </c>
      <c r="P1064" s="67"/>
      <c r="Q1064" s="68">
        <f t="shared" si="177"/>
        <v>3085</v>
      </c>
      <c r="R1064" s="68">
        <f t="shared" si="178"/>
        <v>0</v>
      </c>
      <c r="S1064" s="68">
        <f t="shared" si="179"/>
        <v>3085</v>
      </c>
    </row>
    <row r="1065" spans="2:19" x14ac:dyDescent="0.2">
      <c r="B1065" s="48">
        <f t="shared" si="186"/>
        <v>571</v>
      </c>
      <c r="C1065" s="9"/>
      <c r="D1065" s="9"/>
      <c r="E1065" s="9"/>
      <c r="F1065" s="61" t="s">
        <v>161</v>
      </c>
      <c r="G1065" s="8">
        <v>640</v>
      </c>
      <c r="H1065" s="9" t="s">
        <v>130</v>
      </c>
      <c r="I1065" s="62">
        <v>450</v>
      </c>
      <c r="J1065" s="62"/>
      <c r="K1065" s="62">
        <f t="shared" si="175"/>
        <v>450</v>
      </c>
      <c r="L1065" s="62"/>
      <c r="M1065" s="62"/>
      <c r="N1065" s="62"/>
      <c r="O1065" s="62">
        <f t="shared" si="176"/>
        <v>0</v>
      </c>
      <c r="P1065" s="63"/>
      <c r="Q1065" s="64">
        <f t="shared" si="177"/>
        <v>450</v>
      </c>
      <c r="R1065" s="64">
        <f t="shared" si="178"/>
        <v>0</v>
      </c>
      <c r="S1065" s="64">
        <f t="shared" si="179"/>
        <v>450</v>
      </c>
    </row>
    <row r="1066" spans="2:19" x14ac:dyDescent="0.2">
      <c r="B1066" s="48">
        <f t="shared" si="186"/>
        <v>572</v>
      </c>
      <c r="C1066" s="184"/>
      <c r="D1066" s="184"/>
      <c r="E1066" s="184" t="s">
        <v>100</v>
      </c>
      <c r="F1066" s="185"/>
      <c r="G1066" s="185"/>
      <c r="H1066" s="184" t="s">
        <v>67</v>
      </c>
      <c r="I1066" s="186">
        <f>I1073+I1069+I1068+I1067</f>
        <v>118750</v>
      </c>
      <c r="J1066" s="186">
        <f>J1073+J1069+J1068+J1067</f>
        <v>0</v>
      </c>
      <c r="K1066" s="186">
        <f t="shared" si="175"/>
        <v>118750</v>
      </c>
      <c r="L1066" s="62"/>
      <c r="M1066" s="186"/>
      <c r="N1066" s="186"/>
      <c r="O1066" s="186">
        <f t="shared" si="176"/>
        <v>0</v>
      </c>
      <c r="P1066" s="63"/>
      <c r="Q1066" s="187">
        <f t="shared" si="177"/>
        <v>118750</v>
      </c>
      <c r="R1066" s="187">
        <f t="shared" si="178"/>
        <v>0</v>
      </c>
      <c r="S1066" s="187">
        <f t="shared" si="179"/>
        <v>118750</v>
      </c>
    </row>
    <row r="1067" spans="2:19" x14ac:dyDescent="0.2">
      <c r="B1067" s="48">
        <f t="shared" si="186"/>
        <v>573</v>
      </c>
      <c r="C1067" s="9"/>
      <c r="D1067" s="9"/>
      <c r="E1067" s="9"/>
      <c r="F1067" s="61" t="s">
        <v>161</v>
      </c>
      <c r="G1067" s="8">
        <v>610</v>
      </c>
      <c r="H1067" s="9" t="s">
        <v>132</v>
      </c>
      <c r="I1067" s="62">
        <f>810+600+6349+36681</f>
        <v>44440</v>
      </c>
      <c r="J1067" s="62"/>
      <c r="K1067" s="62">
        <f t="shared" si="175"/>
        <v>44440</v>
      </c>
      <c r="L1067" s="62"/>
      <c r="M1067" s="62"/>
      <c r="N1067" s="62"/>
      <c r="O1067" s="62">
        <f t="shared" si="176"/>
        <v>0</v>
      </c>
      <c r="P1067" s="63"/>
      <c r="Q1067" s="64">
        <f t="shared" si="177"/>
        <v>44440</v>
      </c>
      <c r="R1067" s="64">
        <f t="shared" si="178"/>
        <v>0</v>
      </c>
      <c r="S1067" s="64">
        <f t="shared" si="179"/>
        <v>44440</v>
      </c>
    </row>
    <row r="1068" spans="2:19" x14ac:dyDescent="0.2">
      <c r="B1068" s="48">
        <f t="shared" si="186"/>
        <v>574</v>
      </c>
      <c r="C1068" s="9"/>
      <c r="D1068" s="9"/>
      <c r="E1068" s="9"/>
      <c r="F1068" s="61" t="s">
        <v>161</v>
      </c>
      <c r="G1068" s="8">
        <v>620</v>
      </c>
      <c r="H1068" s="9" t="s">
        <v>125</v>
      </c>
      <c r="I1068" s="62">
        <f>2116+444+1336+889+356+6236+624+4454</f>
        <v>16455</v>
      </c>
      <c r="J1068" s="62"/>
      <c r="K1068" s="62">
        <f t="shared" si="175"/>
        <v>16455</v>
      </c>
      <c r="L1068" s="62"/>
      <c r="M1068" s="62"/>
      <c r="N1068" s="62"/>
      <c r="O1068" s="62">
        <f t="shared" si="176"/>
        <v>0</v>
      </c>
      <c r="P1068" s="63"/>
      <c r="Q1068" s="64">
        <f t="shared" si="177"/>
        <v>16455</v>
      </c>
      <c r="R1068" s="64">
        <f t="shared" si="178"/>
        <v>0</v>
      </c>
      <c r="S1068" s="64">
        <f t="shared" si="179"/>
        <v>16455</v>
      </c>
    </row>
    <row r="1069" spans="2:19" x14ac:dyDescent="0.2">
      <c r="B1069" s="48">
        <f t="shared" si="186"/>
        <v>575</v>
      </c>
      <c r="C1069" s="9"/>
      <c r="D1069" s="9"/>
      <c r="E1069" s="9"/>
      <c r="F1069" s="61" t="s">
        <v>161</v>
      </c>
      <c r="G1069" s="8">
        <v>630</v>
      </c>
      <c r="H1069" s="9" t="s">
        <v>122</v>
      </c>
      <c r="I1069" s="62">
        <f>I1072+I1071+I1070</f>
        <v>57405</v>
      </c>
      <c r="J1069" s="62">
        <f>J1072+J1071+J1070</f>
        <v>0</v>
      </c>
      <c r="K1069" s="62">
        <f t="shared" si="175"/>
        <v>57405</v>
      </c>
      <c r="L1069" s="62"/>
      <c r="M1069" s="62"/>
      <c r="N1069" s="62"/>
      <c r="O1069" s="62">
        <f t="shared" si="176"/>
        <v>0</v>
      </c>
      <c r="P1069" s="63"/>
      <c r="Q1069" s="64">
        <f t="shared" si="177"/>
        <v>57405</v>
      </c>
      <c r="R1069" s="64">
        <f t="shared" si="178"/>
        <v>0</v>
      </c>
      <c r="S1069" s="64">
        <f t="shared" si="179"/>
        <v>57405</v>
      </c>
    </row>
    <row r="1070" spans="2:19" x14ac:dyDescent="0.2">
      <c r="B1070" s="48">
        <f t="shared" si="186"/>
        <v>576</v>
      </c>
      <c r="C1070" s="11"/>
      <c r="D1070" s="11"/>
      <c r="E1070" s="11"/>
      <c r="F1070" s="65"/>
      <c r="G1070" s="10">
        <v>633</v>
      </c>
      <c r="H1070" s="11" t="s">
        <v>126</v>
      </c>
      <c r="I1070" s="66">
        <f>150+1000+42094+1800+200+6791+280</f>
        <v>52315</v>
      </c>
      <c r="J1070" s="66"/>
      <c r="K1070" s="66">
        <f t="shared" ref="K1070:K1136" si="187">I1070+J1070</f>
        <v>52315</v>
      </c>
      <c r="L1070" s="66"/>
      <c r="M1070" s="66"/>
      <c r="N1070" s="66"/>
      <c r="O1070" s="66">
        <f t="shared" ref="O1070:O1136" si="188">M1070+N1070</f>
        <v>0</v>
      </c>
      <c r="P1070" s="67"/>
      <c r="Q1070" s="68">
        <f t="shared" si="177"/>
        <v>52315</v>
      </c>
      <c r="R1070" s="68">
        <f t="shared" si="178"/>
        <v>0</v>
      </c>
      <c r="S1070" s="68">
        <f t="shared" si="179"/>
        <v>52315</v>
      </c>
    </row>
    <row r="1071" spans="2:19" x14ac:dyDescent="0.2">
      <c r="B1071" s="48">
        <f t="shared" si="186"/>
        <v>577</v>
      </c>
      <c r="C1071" s="11"/>
      <c r="D1071" s="11"/>
      <c r="E1071" s="11"/>
      <c r="F1071" s="65"/>
      <c r="G1071" s="10">
        <v>635</v>
      </c>
      <c r="H1071" s="11" t="s">
        <v>134</v>
      </c>
      <c r="I1071" s="66">
        <f>2500+1000</f>
        <v>3500</v>
      </c>
      <c r="J1071" s="66"/>
      <c r="K1071" s="66">
        <f t="shared" si="187"/>
        <v>3500</v>
      </c>
      <c r="L1071" s="66"/>
      <c r="M1071" s="66"/>
      <c r="N1071" s="66"/>
      <c r="O1071" s="66">
        <f t="shared" si="188"/>
        <v>0</v>
      </c>
      <c r="P1071" s="67"/>
      <c r="Q1071" s="68">
        <f t="shared" si="177"/>
        <v>3500</v>
      </c>
      <c r="R1071" s="68">
        <f t="shared" si="178"/>
        <v>0</v>
      </c>
      <c r="S1071" s="68">
        <f t="shared" si="179"/>
        <v>3500</v>
      </c>
    </row>
    <row r="1072" spans="2:19" x14ac:dyDescent="0.2">
      <c r="B1072" s="48">
        <f t="shared" si="186"/>
        <v>578</v>
      </c>
      <c r="C1072" s="11"/>
      <c r="D1072" s="11"/>
      <c r="E1072" s="11"/>
      <c r="F1072" s="65"/>
      <c r="G1072" s="10">
        <v>637</v>
      </c>
      <c r="H1072" s="11" t="s">
        <v>123</v>
      </c>
      <c r="I1072" s="66">
        <f>100+670+820</f>
        <v>1590</v>
      </c>
      <c r="J1072" s="66"/>
      <c r="K1072" s="66">
        <f t="shared" si="187"/>
        <v>1590</v>
      </c>
      <c r="L1072" s="66"/>
      <c r="M1072" s="66"/>
      <c r="N1072" s="66"/>
      <c r="O1072" s="66">
        <f t="shared" si="188"/>
        <v>0</v>
      </c>
      <c r="P1072" s="67"/>
      <c r="Q1072" s="68">
        <f t="shared" si="177"/>
        <v>1590</v>
      </c>
      <c r="R1072" s="68">
        <f t="shared" si="178"/>
        <v>0</v>
      </c>
      <c r="S1072" s="68">
        <f t="shared" si="179"/>
        <v>1590</v>
      </c>
    </row>
    <row r="1073" spans="2:19" x14ac:dyDescent="0.2">
      <c r="B1073" s="48">
        <f t="shared" si="186"/>
        <v>579</v>
      </c>
      <c r="C1073" s="9"/>
      <c r="D1073" s="9"/>
      <c r="E1073" s="9"/>
      <c r="F1073" s="61" t="s">
        <v>161</v>
      </c>
      <c r="G1073" s="8">
        <v>640</v>
      </c>
      <c r="H1073" s="9" t="s">
        <v>130</v>
      </c>
      <c r="I1073" s="62">
        <v>450</v>
      </c>
      <c r="J1073" s="62"/>
      <c r="K1073" s="62">
        <f t="shared" si="187"/>
        <v>450</v>
      </c>
      <c r="L1073" s="62"/>
      <c r="M1073" s="62"/>
      <c r="N1073" s="62"/>
      <c r="O1073" s="62">
        <f t="shared" si="188"/>
        <v>0</v>
      </c>
      <c r="P1073" s="63"/>
      <c r="Q1073" s="64">
        <f t="shared" ref="Q1073:Q1136" si="189">I1073+M1073</f>
        <v>450</v>
      </c>
      <c r="R1073" s="64">
        <f t="shared" ref="R1073:R1136" si="190">J1073+N1073</f>
        <v>0</v>
      </c>
      <c r="S1073" s="64">
        <f t="shared" ref="S1073:S1136" si="191">K1073+O1073</f>
        <v>450</v>
      </c>
    </row>
    <row r="1074" spans="2:19" x14ac:dyDescent="0.2">
      <c r="B1074" s="48">
        <f t="shared" si="186"/>
        <v>580</v>
      </c>
      <c r="C1074" s="184"/>
      <c r="D1074" s="184"/>
      <c r="E1074" s="184" t="s">
        <v>93</v>
      </c>
      <c r="F1074" s="185"/>
      <c r="G1074" s="185"/>
      <c r="H1074" s="184" t="s">
        <v>94</v>
      </c>
      <c r="I1074" s="186">
        <f>I1081+I1077+I1076+I1075</f>
        <v>60493</v>
      </c>
      <c r="J1074" s="186">
        <f>J1081+J1077+J1076+J1075</f>
        <v>0</v>
      </c>
      <c r="K1074" s="186">
        <f t="shared" si="187"/>
        <v>60493</v>
      </c>
      <c r="L1074" s="62"/>
      <c r="M1074" s="186"/>
      <c r="N1074" s="186"/>
      <c r="O1074" s="186">
        <f t="shared" si="188"/>
        <v>0</v>
      </c>
      <c r="P1074" s="63"/>
      <c r="Q1074" s="187">
        <f t="shared" si="189"/>
        <v>60493</v>
      </c>
      <c r="R1074" s="187">
        <f t="shared" si="190"/>
        <v>0</v>
      </c>
      <c r="S1074" s="187">
        <f t="shared" si="191"/>
        <v>60493</v>
      </c>
    </row>
    <row r="1075" spans="2:19" x14ac:dyDescent="0.2">
      <c r="B1075" s="48">
        <f t="shared" si="186"/>
        <v>581</v>
      </c>
      <c r="C1075" s="9"/>
      <c r="D1075" s="9"/>
      <c r="E1075" s="9"/>
      <c r="F1075" s="61" t="s">
        <v>161</v>
      </c>
      <c r="G1075" s="8">
        <v>610</v>
      </c>
      <c r="H1075" s="9" t="s">
        <v>132</v>
      </c>
      <c r="I1075" s="62">
        <f>726+360+3321+18840</f>
        <v>23247</v>
      </c>
      <c r="J1075" s="62"/>
      <c r="K1075" s="62">
        <f t="shared" si="187"/>
        <v>23247</v>
      </c>
      <c r="L1075" s="62"/>
      <c r="M1075" s="62"/>
      <c r="N1075" s="62"/>
      <c r="O1075" s="62">
        <f t="shared" si="188"/>
        <v>0</v>
      </c>
      <c r="P1075" s="63"/>
      <c r="Q1075" s="64">
        <f t="shared" si="189"/>
        <v>23247</v>
      </c>
      <c r="R1075" s="64">
        <f t="shared" si="190"/>
        <v>0</v>
      </c>
      <c r="S1075" s="64">
        <f t="shared" si="191"/>
        <v>23247</v>
      </c>
    </row>
    <row r="1076" spans="2:19" x14ac:dyDescent="0.2">
      <c r="B1076" s="48">
        <f t="shared" si="186"/>
        <v>582</v>
      </c>
      <c r="C1076" s="9"/>
      <c r="D1076" s="9"/>
      <c r="E1076" s="9"/>
      <c r="F1076" s="61" t="s">
        <v>161</v>
      </c>
      <c r="G1076" s="8">
        <v>620</v>
      </c>
      <c r="H1076" s="9" t="s">
        <v>125</v>
      </c>
      <c r="I1076" s="62">
        <f>1195+250+754+465+201+3521+352+2515</f>
        <v>9253</v>
      </c>
      <c r="J1076" s="62"/>
      <c r="K1076" s="62">
        <f t="shared" si="187"/>
        <v>9253</v>
      </c>
      <c r="L1076" s="62"/>
      <c r="M1076" s="62"/>
      <c r="N1076" s="62"/>
      <c r="O1076" s="62">
        <f t="shared" si="188"/>
        <v>0</v>
      </c>
      <c r="P1076" s="63"/>
      <c r="Q1076" s="64">
        <f t="shared" si="189"/>
        <v>9253</v>
      </c>
      <c r="R1076" s="64">
        <f t="shared" si="190"/>
        <v>0</v>
      </c>
      <c r="S1076" s="64">
        <f t="shared" si="191"/>
        <v>9253</v>
      </c>
    </row>
    <row r="1077" spans="2:19" x14ac:dyDescent="0.2">
      <c r="B1077" s="48">
        <f t="shared" si="186"/>
        <v>583</v>
      </c>
      <c r="C1077" s="9"/>
      <c r="D1077" s="9"/>
      <c r="E1077" s="9"/>
      <c r="F1077" s="61" t="s">
        <v>161</v>
      </c>
      <c r="G1077" s="8">
        <v>630</v>
      </c>
      <c r="H1077" s="9" t="s">
        <v>122</v>
      </c>
      <c r="I1077" s="62">
        <f>I1080+I1079+I1078</f>
        <v>25741</v>
      </c>
      <c r="J1077" s="62">
        <f>J1080+J1079+J1078</f>
        <v>0</v>
      </c>
      <c r="K1077" s="62">
        <f t="shared" si="187"/>
        <v>25741</v>
      </c>
      <c r="L1077" s="62"/>
      <c r="M1077" s="62"/>
      <c r="N1077" s="62"/>
      <c r="O1077" s="62">
        <f t="shared" si="188"/>
        <v>0</v>
      </c>
      <c r="P1077" s="63"/>
      <c r="Q1077" s="64">
        <f t="shared" si="189"/>
        <v>25741</v>
      </c>
      <c r="R1077" s="64">
        <f t="shared" si="190"/>
        <v>0</v>
      </c>
      <c r="S1077" s="64">
        <f t="shared" si="191"/>
        <v>25741</v>
      </c>
    </row>
    <row r="1078" spans="2:19" s="164" customFormat="1" x14ac:dyDescent="0.2">
      <c r="B1078" s="48">
        <f t="shared" si="186"/>
        <v>584</v>
      </c>
      <c r="C1078" s="11"/>
      <c r="D1078" s="11"/>
      <c r="E1078" s="11"/>
      <c r="F1078" s="65"/>
      <c r="G1078" s="10">
        <v>633</v>
      </c>
      <c r="H1078" s="11" t="s">
        <v>126</v>
      </c>
      <c r="I1078" s="66">
        <f>200+100+16515+1200+1800+3396+280</f>
        <v>23491</v>
      </c>
      <c r="J1078" s="66"/>
      <c r="K1078" s="66">
        <f t="shared" si="187"/>
        <v>23491</v>
      </c>
      <c r="L1078" s="66"/>
      <c r="M1078" s="66"/>
      <c r="N1078" s="66"/>
      <c r="O1078" s="66">
        <f t="shared" si="188"/>
        <v>0</v>
      </c>
      <c r="P1078" s="67"/>
      <c r="Q1078" s="68">
        <f t="shared" si="189"/>
        <v>23491</v>
      </c>
      <c r="R1078" s="68">
        <f t="shared" si="190"/>
        <v>0</v>
      </c>
      <c r="S1078" s="68">
        <f t="shared" si="191"/>
        <v>23491</v>
      </c>
    </row>
    <row r="1079" spans="2:19" s="164" customFormat="1" x14ac:dyDescent="0.2">
      <c r="B1079" s="48">
        <f t="shared" si="186"/>
        <v>585</v>
      </c>
      <c r="C1079" s="11"/>
      <c r="D1079" s="11"/>
      <c r="E1079" s="11"/>
      <c r="F1079" s="65"/>
      <c r="G1079" s="10">
        <v>635</v>
      </c>
      <c r="H1079" s="11" t="s">
        <v>134</v>
      </c>
      <c r="I1079" s="66">
        <v>800</v>
      </c>
      <c r="J1079" s="66"/>
      <c r="K1079" s="66">
        <f t="shared" si="187"/>
        <v>800</v>
      </c>
      <c r="L1079" s="66"/>
      <c r="M1079" s="66"/>
      <c r="N1079" s="66"/>
      <c r="O1079" s="66">
        <f t="shared" si="188"/>
        <v>0</v>
      </c>
      <c r="P1079" s="67"/>
      <c r="Q1079" s="68">
        <f t="shared" si="189"/>
        <v>800</v>
      </c>
      <c r="R1079" s="68">
        <f t="shared" si="190"/>
        <v>0</v>
      </c>
      <c r="S1079" s="68">
        <f t="shared" si="191"/>
        <v>800</v>
      </c>
    </row>
    <row r="1080" spans="2:19" s="164" customFormat="1" x14ac:dyDescent="0.2">
      <c r="B1080" s="48">
        <f t="shared" si="186"/>
        <v>586</v>
      </c>
      <c r="C1080" s="11"/>
      <c r="D1080" s="11"/>
      <c r="E1080" s="11"/>
      <c r="F1080" s="65"/>
      <c r="G1080" s="10">
        <v>637</v>
      </c>
      <c r="H1080" s="11" t="s">
        <v>123</v>
      </c>
      <c r="I1080" s="66">
        <f>350+100+1000</f>
        <v>1450</v>
      </c>
      <c r="J1080" s="66"/>
      <c r="K1080" s="66">
        <f t="shared" si="187"/>
        <v>1450</v>
      </c>
      <c r="L1080" s="66"/>
      <c r="M1080" s="66"/>
      <c r="N1080" s="66"/>
      <c r="O1080" s="66">
        <f t="shared" si="188"/>
        <v>0</v>
      </c>
      <c r="P1080" s="67"/>
      <c r="Q1080" s="68">
        <f t="shared" si="189"/>
        <v>1450</v>
      </c>
      <c r="R1080" s="68">
        <f t="shared" si="190"/>
        <v>0</v>
      </c>
      <c r="S1080" s="68">
        <f t="shared" si="191"/>
        <v>1450</v>
      </c>
    </row>
    <row r="1081" spans="2:19" x14ac:dyDescent="0.2">
      <c r="B1081" s="48">
        <f t="shared" si="186"/>
        <v>587</v>
      </c>
      <c r="C1081" s="9"/>
      <c r="D1081" s="9"/>
      <c r="E1081" s="9"/>
      <c r="F1081" s="61" t="s">
        <v>161</v>
      </c>
      <c r="G1081" s="8">
        <v>640</v>
      </c>
      <c r="H1081" s="9" t="s">
        <v>130</v>
      </c>
      <c r="I1081" s="62">
        <f>450+1802</f>
        <v>2252</v>
      </c>
      <c r="J1081" s="62"/>
      <c r="K1081" s="62">
        <f t="shared" si="187"/>
        <v>2252</v>
      </c>
      <c r="L1081" s="62"/>
      <c r="M1081" s="62"/>
      <c r="N1081" s="62"/>
      <c r="O1081" s="62">
        <f t="shared" si="188"/>
        <v>0</v>
      </c>
      <c r="P1081" s="63"/>
      <c r="Q1081" s="64">
        <f t="shared" si="189"/>
        <v>2252</v>
      </c>
      <c r="R1081" s="64">
        <f t="shared" si="190"/>
        <v>0</v>
      </c>
      <c r="S1081" s="64">
        <f t="shared" si="191"/>
        <v>2252</v>
      </c>
    </row>
    <row r="1082" spans="2:19" x14ac:dyDescent="0.2">
      <c r="B1082" s="48">
        <f t="shared" si="186"/>
        <v>588</v>
      </c>
      <c r="C1082" s="184"/>
      <c r="D1082" s="184"/>
      <c r="E1082" s="184" t="s">
        <v>88</v>
      </c>
      <c r="F1082" s="185"/>
      <c r="G1082" s="185"/>
      <c r="H1082" s="184" t="s">
        <v>197</v>
      </c>
      <c r="I1082" s="186">
        <f>I1089+I1085+I1084+I1083</f>
        <v>73849</v>
      </c>
      <c r="J1082" s="186">
        <f>J1089+J1085+J1084+J1083</f>
        <v>0</v>
      </c>
      <c r="K1082" s="186">
        <f t="shared" si="187"/>
        <v>73849</v>
      </c>
      <c r="L1082" s="62"/>
      <c r="M1082" s="186"/>
      <c r="N1082" s="186"/>
      <c r="O1082" s="186">
        <f t="shared" si="188"/>
        <v>0</v>
      </c>
      <c r="P1082" s="63"/>
      <c r="Q1082" s="187">
        <f t="shared" si="189"/>
        <v>73849</v>
      </c>
      <c r="R1082" s="187">
        <f t="shared" si="190"/>
        <v>0</v>
      </c>
      <c r="S1082" s="187">
        <f t="shared" si="191"/>
        <v>73849</v>
      </c>
    </row>
    <row r="1083" spans="2:19" x14ac:dyDescent="0.2">
      <c r="B1083" s="48">
        <f t="shared" si="186"/>
        <v>589</v>
      </c>
      <c r="C1083" s="9"/>
      <c r="D1083" s="9"/>
      <c r="E1083" s="9"/>
      <c r="F1083" s="61" t="s">
        <v>161</v>
      </c>
      <c r="G1083" s="8">
        <v>610</v>
      </c>
      <c r="H1083" s="9" t="s">
        <v>132</v>
      </c>
      <c r="I1083" s="62">
        <f>684+240+3926+22632</f>
        <v>27482</v>
      </c>
      <c r="J1083" s="62"/>
      <c r="K1083" s="62">
        <f t="shared" si="187"/>
        <v>27482</v>
      </c>
      <c r="L1083" s="62"/>
      <c r="M1083" s="62"/>
      <c r="N1083" s="62"/>
      <c r="O1083" s="62">
        <f t="shared" si="188"/>
        <v>0</v>
      </c>
      <c r="P1083" s="63"/>
      <c r="Q1083" s="64">
        <f t="shared" si="189"/>
        <v>27482</v>
      </c>
      <c r="R1083" s="64">
        <f t="shared" si="190"/>
        <v>0</v>
      </c>
      <c r="S1083" s="64">
        <f t="shared" si="191"/>
        <v>27482</v>
      </c>
    </row>
    <row r="1084" spans="2:19" x14ac:dyDescent="0.2">
      <c r="B1084" s="48">
        <f t="shared" si="186"/>
        <v>590</v>
      </c>
      <c r="C1084" s="9"/>
      <c r="D1084" s="9"/>
      <c r="E1084" s="9"/>
      <c r="F1084" s="61" t="s">
        <v>161</v>
      </c>
      <c r="G1084" s="8">
        <v>620</v>
      </c>
      <c r="H1084" s="9" t="s">
        <v>125</v>
      </c>
      <c r="I1084" s="62">
        <v>11368</v>
      </c>
      <c r="J1084" s="62"/>
      <c r="K1084" s="62">
        <f t="shared" si="187"/>
        <v>11368</v>
      </c>
      <c r="L1084" s="62"/>
      <c r="M1084" s="62"/>
      <c r="N1084" s="62"/>
      <c r="O1084" s="62">
        <f t="shared" si="188"/>
        <v>0</v>
      </c>
      <c r="P1084" s="63"/>
      <c r="Q1084" s="64">
        <f t="shared" si="189"/>
        <v>11368</v>
      </c>
      <c r="R1084" s="64">
        <f t="shared" si="190"/>
        <v>0</v>
      </c>
      <c r="S1084" s="64">
        <f t="shared" si="191"/>
        <v>11368</v>
      </c>
    </row>
    <row r="1085" spans="2:19" x14ac:dyDescent="0.2">
      <c r="B1085" s="48">
        <f t="shared" si="186"/>
        <v>591</v>
      </c>
      <c r="C1085" s="9"/>
      <c r="D1085" s="9"/>
      <c r="E1085" s="9"/>
      <c r="F1085" s="61" t="s">
        <v>161</v>
      </c>
      <c r="G1085" s="8">
        <v>630</v>
      </c>
      <c r="H1085" s="9" t="s">
        <v>122</v>
      </c>
      <c r="I1085" s="62">
        <f>I1088+I1087+I1086</f>
        <v>31080</v>
      </c>
      <c r="J1085" s="62">
        <f>J1088+J1087+J1086</f>
        <v>0</v>
      </c>
      <c r="K1085" s="62">
        <f t="shared" si="187"/>
        <v>31080</v>
      </c>
      <c r="L1085" s="62"/>
      <c r="M1085" s="62"/>
      <c r="N1085" s="62"/>
      <c r="O1085" s="62">
        <f t="shared" si="188"/>
        <v>0</v>
      </c>
      <c r="P1085" s="63"/>
      <c r="Q1085" s="64">
        <f t="shared" si="189"/>
        <v>31080</v>
      </c>
      <c r="R1085" s="64">
        <f t="shared" si="190"/>
        <v>0</v>
      </c>
      <c r="S1085" s="64">
        <f t="shared" si="191"/>
        <v>31080</v>
      </c>
    </row>
    <row r="1086" spans="2:19" x14ac:dyDescent="0.2">
      <c r="B1086" s="48">
        <f t="shared" si="186"/>
        <v>592</v>
      </c>
      <c r="C1086" s="11"/>
      <c r="D1086" s="11"/>
      <c r="E1086" s="11"/>
      <c r="F1086" s="65"/>
      <c r="G1086" s="10">
        <v>633</v>
      </c>
      <c r="H1086" s="11" t="s">
        <v>126</v>
      </c>
      <c r="I1086" s="66">
        <f>100+16802+2900+6483+280</f>
        <v>26565</v>
      </c>
      <c r="J1086" s="66"/>
      <c r="K1086" s="66">
        <f t="shared" si="187"/>
        <v>26565</v>
      </c>
      <c r="L1086" s="66"/>
      <c r="M1086" s="66"/>
      <c r="N1086" s="66"/>
      <c r="O1086" s="66">
        <f t="shared" si="188"/>
        <v>0</v>
      </c>
      <c r="P1086" s="67"/>
      <c r="Q1086" s="68">
        <f t="shared" si="189"/>
        <v>26565</v>
      </c>
      <c r="R1086" s="68">
        <f t="shared" si="190"/>
        <v>0</v>
      </c>
      <c r="S1086" s="68">
        <f t="shared" si="191"/>
        <v>26565</v>
      </c>
    </row>
    <row r="1087" spans="2:19" x14ac:dyDescent="0.2">
      <c r="B1087" s="48">
        <f t="shared" si="186"/>
        <v>593</v>
      </c>
      <c r="C1087" s="11"/>
      <c r="D1087" s="11"/>
      <c r="E1087" s="11"/>
      <c r="F1087" s="65"/>
      <c r="G1087" s="10">
        <v>635</v>
      </c>
      <c r="H1087" s="11" t="s">
        <v>134</v>
      </c>
      <c r="I1087" s="66">
        <f>500+2500</f>
        <v>3000</v>
      </c>
      <c r="J1087" s="66"/>
      <c r="K1087" s="66">
        <f t="shared" si="187"/>
        <v>3000</v>
      </c>
      <c r="L1087" s="66"/>
      <c r="M1087" s="66"/>
      <c r="N1087" s="66"/>
      <c r="O1087" s="66">
        <f t="shared" si="188"/>
        <v>0</v>
      </c>
      <c r="P1087" s="67"/>
      <c r="Q1087" s="68">
        <f t="shared" si="189"/>
        <v>3000</v>
      </c>
      <c r="R1087" s="68">
        <f t="shared" si="190"/>
        <v>0</v>
      </c>
      <c r="S1087" s="68">
        <f t="shared" si="191"/>
        <v>3000</v>
      </c>
    </row>
    <row r="1088" spans="2:19" x14ac:dyDescent="0.2">
      <c r="B1088" s="48">
        <f t="shared" si="186"/>
        <v>594</v>
      </c>
      <c r="C1088" s="11"/>
      <c r="D1088" s="11"/>
      <c r="E1088" s="11"/>
      <c r="F1088" s="65"/>
      <c r="G1088" s="10">
        <v>637</v>
      </c>
      <c r="H1088" s="11" t="s">
        <v>123</v>
      </c>
      <c r="I1088" s="66">
        <f>415+1100</f>
        <v>1515</v>
      </c>
      <c r="J1088" s="66"/>
      <c r="K1088" s="66">
        <f t="shared" si="187"/>
        <v>1515</v>
      </c>
      <c r="L1088" s="66"/>
      <c r="M1088" s="66"/>
      <c r="N1088" s="66"/>
      <c r="O1088" s="66">
        <f t="shared" si="188"/>
        <v>0</v>
      </c>
      <c r="P1088" s="67"/>
      <c r="Q1088" s="68">
        <f t="shared" si="189"/>
        <v>1515</v>
      </c>
      <c r="R1088" s="68">
        <f t="shared" si="190"/>
        <v>0</v>
      </c>
      <c r="S1088" s="68">
        <f t="shared" si="191"/>
        <v>1515</v>
      </c>
    </row>
    <row r="1089" spans="2:19" x14ac:dyDescent="0.2">
      <c r="B1089" s="48">
        <f t="shared" si="186"/>
        <v>595</v>
      </c>
      <c r="C1089" s="9"/>
      <c r="D1089" s="9"/>
      <c r="E1089" s="9"/>
      <c r="F1089" s="61" t="s">
        <v>161</v>
      </c>
      <c r="G1089" s="8">
        <v>640</v>
      </c>
      <c r="H1089" s="9" t="s">
        <v>130</v>
      </c>
      <c r="I1089" s="62">
        <f>450+3469</f>
        <v>3919</v>
      </c>
      <c r="J1089" s="62"/>
      <c r="K1089" s="62">
        <f t="shared" si="187"/>
        <v>3919</v>
      </c>
      <c r="L1089" s="62"/>
      <c r="M1089" s="62"/>
      <c r="N1089" s="62"/>
      <c r="O1089" s="62">
        <f t="shared" si="188"/>
        <v>0</v>
      </c>
      <c r="P1089" s="63"/>
      <c r="Q1089" s="64">
        <f t="shared" si="189"/>
        <v>3919</v>
      </c>
      <c r="R1089" s="64">
        <f t="shared" si="190"/>
        <v>0</v>
      </c>
      <c r="S1089" s="64">
        <f t="shared" si="191"/>
        <v>3919</v>
      </c>
    </row>
    <row r="1090" spans="2:19" x14ac:dyDescent="0.2">
      <c r="B1090" s="48">
        <f t="shared" si="186"/>
        <v>596</v>
      </c>
      <c r="C1090" s="184"/>
      <c r="D1090" s="184"/>
      <c r="E1090" s="184" t="s">
        <v>89</v>
      </c>
      <c r="F1090" s="185"/>
      <c r="G1090" s="185"/>
      <c r="H1090" s="184" t="s">
        <v>90</v>
      </c>
      <c r="I1090" s="186">
        <f>I1098+I1093+I1092+I1091</f>
        <v>168377</v>
      </c>
      <c r="J1090" s="186">
        <f>J1098+J1093+J1092+J1091</f>
        <v>0</v>
      </c>
      <c r="K1090" s="186">
        <f t="shared" si="187"/>
        <v>168377</v>
      </c>
      <c r="L1090" s="62"/>
      <c r="M1090" s="186"/>
      <c r="N1090" s="186"/>
      <c r="O1090" s="186">
        <f t="shared" si="188"/>
        <v>0</v>
      </c>
      <c r="P1090" s="63"/>
      <c r="Q1090" s="187">
        <f t="shared" si="189"/>
        <v>168377</v>
      </c>
      <c r="R1090" s="187">
        <f t="shared" si="190"/>
        <v>0</v>
      </c>
      <c r="S1090" s="187">
        <f t="shared" si="191"/>
        <v>168377</v>
      </c>
    </row>
    <row r="1091" spans="2:19" x14ac:dyDescent="0.2">
      <c r="B1091" s="48">
        <f t="shared" si="186"/>
        <v>597</v>
      </c>
      <c r="C1091" s="9"/>
      <c r="D1091" s="9"/>
      <c r="E1091" s="9"/>
      <c r="F1091" s="61" t="s">
        <v>161</v>
      </c>
      <c r="G1091" s="8">
        <v>610</v>
      </c>
      <c r="H1091" s="9" t="s">
        <v>132</v>
      </c>
      <c r="I1091" s="62">
        <f>810+600+7981+46473</f>
        <v>55864</v>
      </c>
      <c r="J1091" s="62"/>
      <c r="K1091" s="62">
        <f t="shared" si="187"/>
        <v>55864</v>
      </c>
      <c r="L1091" s="62"/>
      <c r="M1091" s="62"/>
      <c r="N1091" s="62"/>
      <c r="O1091" s="62">
        <f t="shared" si="188"/>
        <v>0</v>
      </c>
      <c r="P1091" s="63"/>
      <c r="Q1091" s="64">
        <f t="shared" si="189"/>
        <v>55864</v>
      </c>
      <c r="R1091" s="64">
        <f t="shared" si="190"/>
        <v>0</v>
      </c>
      <c r="S1091" s="64">
        <f t="shared" si="191"/>
        <v>55864</v>
      </c>
    </row>
    <row r="1092" spans="2:19" x14ac:dyDescent="0.2">
      <c r="B1092" s="48">
        <f t="shared" si="186"/>
        <v>598</v>
      </c>
      <c r="C1092" s="9"/>
      <c r="D1092" s="9"/>
      <c r="E1092" s="9"/>
      <c r="F1092" s="61" t="s">
        <v>161</v>
      </c>
      <c r="G1092" s="8">
        <v>620</v>
      </c>
      <c r="H1092" s="9" t="s">
        <v>125</v>
      </c>
      <c r="I1092" s="62">
        <v>21566</v>
      </c>
      <c r="J1092" s="62"/>
      <c r="K1092" s="62">
        <f t="shared" si="187"/>
        <v>21566</v>
      </c>
      <c r="L1092" s="62"/>
      <c r="M1092" s="62"/>
      <c r="N1092" s="62"/>
      <c r="O1092" s="62">
        <f t="shared" si="188"/>
        <v>0</v>
      </c>
      <c r="P1092" s="63"/>
      <c r="Q1092" s="64">
        <f t="shared" si="189"/>
        <v>21566</v>
      </c>
      <c r="R1092" s="64">
        <f t="shared" si="190"/>
        <v>0</v>
      </c>
      <c r="S1092" s="64">
        <f t="shared" si="191"/>
        <v>21566</v>
      </c>
    </row>
    <row r="1093" spans="2:19" x14ac:dyDescent="0.2">
      <c r="B1093" s="48">
        <f t="shared" si="186"/>
        <v>599</v>
      </c>
      <c r="C1093" s="9"/>
      <c r="D1093" s="9"/>
      <c r="E1093" s="9"/>
      <c r="F1093" s="61" t="s">
        <v>161</v>
      </c>
      <c r="G1093" s="8">
        <v>630</v>
      </c>
      <c r="H1093" s="9" t="s">
        <v>122</v>
      </c>
      <c r="I1093" s="62">
        <f>I1097+I1096+I1095+I1094</f>
        <v>89354</v>
      </c>
      <c r="J1093" s="62">
        <f>J1097+J1096+J1095+J1094</f>
        <v>0</v>
      </c>
      <c r="K1093" s="62">
        <f t="shared" si="187"/>
        <v>89354</v>
      </c>
      <c r="L1093" s="62"/>
      <c r="M1093" s="62"/>
      <c r="N1093" s="62"/>
      <c r="O1093" s="62">
        <f t="shared" si="188"/>
        <v>0</v>
      </c>
      <c r="P1093" s="63"/>
      <c r="Q1093" s="64">
        <f t="shared" si="189"/>
        <v>89354</v>
      </c>
      <c r="R1093" s="64">
        <f t="shared" si="190"/>
        <v>0</v>
      </c>
      <c r="S1093" s="64">
        <f t="shared" si="191"/>
        <v>89354</v>
      </c>
    </row>
    <row r="1094" spans="2:19" x14ac:dyDescent="0.2">
      <c r="B1094" s="48">
        <f t="shared" si="186"/>
        <v>600</v>
      </c>
      <c r="C1094" s="11"/>
      <c r="D1094" s="11"/>
      <c r="E1094" s="11"/>
      <c r="F1094" s="65"/>
      <c r="G1094" s="10">
        <v>632</v>
      </c>
      <c r="H1094" s="11" t="s">
        <v>135</v>
      </c>
      <c r="I1094" s="66">
        <v>1310</v>
      </c>
      <c r="J1094" s="66"/>
      <c r="K1094" s="66">
        <f t="shared" si="187"/>
        <v>1310</v>
      </c>
      <c r="L1094" s="66"/>
      <c r="M1094" s="66"/>
      <c r="N1094" s="66"/>
      <c r="O1094" s="66">
        <f t="shared" si="188"/>
        <v>0</v>
      </c>
      <c r="P1094" s="67"/>
      <c r="Q1094" s="68">
        <f t="shared" si="189"/>
        <v>1310</v>
      </c>
      <c r="R1094" s="68">
        <f t="shared" si="190"/>
        <v>0</v>
      </c>
      <c r="S1094" s="68">
        <f t="shared" si="191"/>
        <v>1310</v>
      </c>
    </row>
    <row r="1095" spans="2:19" x14ac:dyDescent="0.2">
      <c r="B1095" s="48">
        <f t="shared" si="186"/>
        <v>601</v>
      </c>
      <c r="C1095" s="11"/>
      <c r="D1095" s="11"/>
      <c r="E1095" s="11"/>
      <c r="F1095" s="65"/>
      <c r="G1095" s="10">
        <v>633</v>
      </c>
      <c r="H1095" s="11" t="s">
        <v>126</v>
      </c>
      <c r="I1095" s="66">
        <f>500+500+62556+2720+9878+280</f>
        <v>76434</v>
      </c>
      <c r="J1095" s="66"/>
      <c r="K1095" s="66">
        <f t="shared" si="187"/>
        <v>76434</v>
      </c>
      <c r="L1095" s="66"/>
      <c r="M1095" s="66"/>
      <c r="N1095" s="66"/>
      <c r="O1095" s="66">
        <f t="shared" si="188"/>
        <v>0</v>
      </c>
      <c r="P1095" s="67"/>
      <c r="Q1095" s="68">
        <f t="shared" si="189"/>
        <v>76434</v>
      </c>
      <c r="R1095" s="68">
        <f t="shared" si="190"/>
        <v>0</v>
      </c>
      <c r="S1095" s="68">
        <f t="shared" si="191"/>
        <v>76434</v>
      </c>
    </row>
    <row r="1096" spans="2:19" x14ac:dyDescent="0.2">
      <c r="B1096" s="48">
        <f t="shared" ref="B1096:B1162" si="192">B1095+1</f>
        <v>602</v>
      </c>
      <c r="C1096" s="11"/>
      <c r="D1096" s="11"/>
      <c r="E1096" s="11"/>
      <c r="F1096" s="65"/>
      <c r="G1096" s="10">
        <v>635</v>
      </c>
      <c r="H1096" s="11" t="s">
        <v>134</v>
      </c>
      <c r="I1096" s="66">
        <f>500+5500</f>
        <v>6000</v>
      </c>
      <c r="J1096" s="66"/>
      <c r="K1096" s="66">
        <f t="shared" si="187"/>
        <v>6000</v>
      </c>
      <c r="L1096" s="66"/>
      <c r="M1096" s="66"/>
      <c r="N1096" s="66"/>
      <c r="O1096" s="66">
        <f t="shared" si="188"/>
        <v>0</v>
      </c>
      <c r="P1096" s="67"/>
      <c r="Q1096" s="68">
        <f t="shared" si="189"/>
        <v>6000</v>
      </c>
      <c r="R1096" s="68">
        <f t="shared" si="190"/>
        <v>0</v>
      </c>
      <c r="S1096" s="68">
        <f t="shared" si="191"/>
        <v>6000</v>
      </c>
    </row>
    <row r="1097" spans="2:19" x14ac:dyDescent="0.2">
      <c r="B1097" s="48">
        <f t="shared" si="192"/>
        <v>603</v>
      </c>
      <c r="C1097" s="11"/>
      <c r="D1097" s="11"/>
      <c r="E1097" s="11"/>
      <c r="F1097" s="65"/>
      <c r="G1097" s="10">
        <v>637</v>
      </c>
      <c r="H1097" s="11" t="s">
        <v>123</v>
      </c>
      <c r="I1097" s="66">
        <f>838+1500+984+1550+18+720</f>
        <v>5610</v>
      </c>
      <c r="J1097" s="66"/>
      <c r="K1097" s="66">
        <f t="shared" si="187"/>
        <v>5610</v>
      </c>
      <c r="L1097" s="66"/>
      <c r="M1097" s="66"/>
      <c r="N1097" s="66"/>
      <c r="O1097" s="66">
        <f t="shared" si="188"/>
        <v>0</v>
      </c>
      <c r="P1097" s="67"/>
      <c r="Q1097" s="68">
        <f t="shared" si="189"/>
        <v>5610</v>
      </c>
      <c r="R1097" s="68">
        <f t="shared" si="190"/>
        <v>0</v>
      </c>
      <c r="S1097" s="68">
        <f t="shared" si="191"/>
        <v>5610</v>
      </c>
    </row>
    <row r="1098" spans="2:19" x14ac:dyDescent="0.2">
      <c r="B1098" s="48">
        <f t="shared" si="192"/>
        <v>604</v>
      </c>
      <c r="C1098" s="9"/>
      <c r="D1098" s="9"/>
      <c r="E1098" s="9"/>
      <c r="F1098" s="61" t="s">
        <v>161</v>
      </c>
      <c r="G1098" s="8">
        <v>640</v>
      </c>
      <c r="H1098" s="9" t="s">
        <v>130</v>
      </c>
      <c r="I1098" s="62">
        <f>450+1143</f>
        <v>1593</v>
      </c>
      <c r="J1098" s="62"/>
      <c r="K1098" s="62">
        <f t="shared" si="187"/>
        <v>1593</v>
      </c>
      <c r="L1098" s="62"/>
      <c r="M1098" s="62"/>
      <c r="N1098" s="62"/>
      <c r="O1098" s="62">
        <f t="shared" si="188"/>
        <v>0</v>
      </c>
      <c r="P1098" s="63"/>
      <c r="Q1098" s="64">
        <f t="shared" si="189"/>
        <v>1593</v>
      </c>
      <c r="R1098" s="64">
        <f t="shared" si="190"/>
        <v>0</v>
      </c>
      <c r="S1098" s="64">
        <f t="shared" si="191"/>
        <v>1593</v>
      </c>
    </row>
    <row r="1099" spans="2:19" ht="15" x14ac:dyDescent="0.25">
      <c r="B1099" s="48">
        <f t="shared" si="192"/>
        <v>605</v>
      </c>
      <c r="C1099" s="166"/>
      <c r="D1099" s="166"/>
      <c r="E1099" s="166">
        <v>6</v>
      </c>
      <c r="F1099" s="167"/>
      <c r="G1099" s="167"/>
      <c r="H1099" s="166" t="s">
        <v>286</v>
      </c>
      <c r="I1099" s="168">
        <f>I1100+I1101+I1102+I1107+I1108+I1109+I1110+I1115</f>
        <v>418201</v>
      </c>
      <c r="J1099" s="168">
        <f>J1100+J1101+J1102+J1107+J1108+J1109+J1110+J1115</f>
        <v>0</v>
      </c>
      <c r="K1099" s="168">
        <f t="shared" si="187"/>
        <v>418201</v>
      </c>
      <c r="L1099" s="58"/>
      <c r="M1099" s="168"/>
      <c r="N1099" s="168"/>
      <c r="O1099" s="168">
        <f t="shared" si="188"/>
        <v>0</v>
      </c>
      <c r="P1099" s="59"/>
      <c r="Q1099" s="169">
        <f t="shared" si="189"/>
        <v>418201</v>
      </c>
      <c r="R1099" s="169">
        <f t="shared" si="190"/>
        <v>0</v>
      </c>
      <c r="S1099" s="169">
        <f t="shared" si="191"/>
        <v>418201</v>
      </c>
    </row>
    <row r="1100" spans="2:19" x14ac:dyDescent="0.2">
      <c r="B1100" s="48">
        <f t="shared" si="192"/>
        <v>606</v>
      </c>
      <c r="C1100" s="9"/>
      <c r="D1100" s="9"/>
      <c r="E1100" s="9"/>
      <c r="F1100" s="61" t="s">
        <v>80</v>
      </c>
      <c r="G1100" s="8">
        <v>610</v>
      </c>
      <c r="H1100" s="9" t="s">
        <v>132</v>
      </c>
      <c r="I1100" s="62">
        <f>2000+7000+32982+6420</f>
        <v>48402</v>
      </c>
      <c r="J1100" s="62"/>
      <c r="K1100" s="62">
        <f t="shared" si="187"/>
        <v>48402</v>
      </c>
      <c r="L1100" s="62"/>
      <c r="M1100" s="62"/>
      <c r="N1100" s="62"/>
      <c r="O1100" s="62">
        <f t="shared" si="188"/>
        <v>0</v>
      </c>
      <c r="P1100" s="63"/>
      <c r="Q1100" s="64">
        <f t="shared" si="189"/>
        <v>48402</v>
      </c>
      <c r="R1100" s="64">
        <f t="shared" si="190"/>
        <v>0</v>
      </c>
      <c r="S1100" s="64">
        <f t="shared" si="191"/>
        <v>48402</v>
      </c>
    </row>
    <row r="1101" spans="2:19" x14ac:dyDescent="0.2">
      <c r="B1101" s="48">
        <f t="shared" si="192"/>
        <v>607</v>
      </c>
      <c r="C1101" s="9"/>
      <c r="D1101" s="9"/>
      <c r="E1101" s="9"/>
      <c r="F1101" s="61" t="s">
        <v>80</v>
      </c>
      <c r="G1101" s="8">
        <v>620</v>
      </c>
      <c r="H1101" s="9" t="s">
        <v>125</v>
      </c>
      <c r="I1101" s="62">
        <v>18822</v>
      </c>
      <c r="J1101" s="62"/>
      <c r="K1101" s="62">
        <f t="shared" si="187"/>
        <v>18822</v>
      </c>
      <c r="L1101" s="62"/>
      <c r="M1101" s="62"/>
      <c r="N1101" s="62"/>
      <c r="O1101" s="62">
        <f t="shared" si="188"/>
        <v>0</v>
      </c>
      <c r="P1101" s="63"/>
      <c r="Q1101" s="64">
        <f t="shared" si="189"/>
        <v>18822</v>
      </c>
      <c r="R1101" s="64">
        <f t="shared" si="190"/>
        <v>0</v>
      </c>
      <c r="S1101" s="64">
        <f t="shared" si="191"/>
        <v>18822</v>
      </c>
    </row>
    <row r="1102" spans="2:19" x14ac:dyDescent="0.2">
      <c r="B1102" s="48">
        <f t="shared" si="192"/>
        <v>608</v>
      </c>
      <c r="C1102" s="9"/>
      <c r="D1102" s="9"/>
      <c r="E1102" s="9"/>
      <c r="F1102" s="61" t="s">
        <v>80</v>
      </c>
      <c r="G1102" s="8">
        <v>630</v>
      </c>
      <c r="H1102" s="9" t="s">
        <v>122</v>
      </c>
      <c r="I1102" s="62">
        <f>I1106+I1105+I1104+I1103</f>
        <v>137463</v>
      </c>
      <c r="J1102" s="62">
        <f>J1106+J1105+J1104+J1103</f>
        <v>0</v>
      </c>
      <c r="K1102" s="62">
        <f t="shared" si="187"/>
        <v>137463</v>
      </c>
      <c r="L1102" s="62"/>
      <c r="M1102" s="62"/>
      <c r="N1102" s="62"/>
      <c r="O1102" s="62">
        <f t="shared" si="188"/>
        <v>0</v>
      </c>
      <c r="P1102" s="63"/>
      <c r="Q1102" s="64">
        <f t="shared" si="189"/>
        <v>137463</v>
      </c>
      <c r="R1102" s="64">
        <f t="shared" si="190"/>
        <v>0</v>
      </c>
      <c r="S1102" s="64">
        <f t="shared" si="191"/>
        <v>137463</v>
      </c>
    </row>
    <row r="1103" spans="2:19" x14ac:dyDescent="0.2">
      <c r="B1103" s="48">
        <f t="shared" si="192"/>
        <v>609</v>
      </c>
      <c r="C1103" s="11"/>
      <c r="D1103" s="11"/>
      <c r="E1103" s="11"/>
      <c r="F1103" s="65"/>
      <c r="G1103" s="10">
        <v>632</v>
      </c>
      <c r="H1103" s="11" t="s">
        <v>135</v>
      </c>
      <c r="I1103" s="66">
        <f>3069+22046+2207+269+250+250+400+22</f>
        <v>28513</v>
      </c>
      <c r="J1103" s="66"/>
      <c r="K1103" s="66">
        <f t="shared" si="187"/>
        <v>28513</v>
      </c>
      <c r="L1103" s="66"/>
      <c r="M1103" s="66"/>
      <c r="N1103" s="66"/>
      <c r="O1103" s="66">
        <f t="shared" si="188"/>
        <v>0</v>
      </c>
      <c r="P1103" s="67"/>
      <c r="Q1103" s="68">
        <f t="shared" si="189"/>
        <v>28513</v>
      </c>
      <c r="R1103" s="68">
        <f t="shared" si="190"/>
        <v>0</v>
      </c>
      <c r="S1103" s="68">
        <f t="shared" si="191"/>
        <v>28513</v>
      </c>
    </row>
    <row r="1104" spans="2:19" x14ac:dyDescent="0.2">
      <c r="B1104" s="48">
        <f t="shared" si="192"/>
        <v>610</v>
      </c>
      <c r="C1104" s="11"/>
      <c r="D1104" s="11"/>
      <c r="E1104" s="11"/>
      <c r="F1104" s="65"/>
      <c r="G1104" s="10">
        <v>633</v>
      </c>
      <c r="H1104" s="11" t="s">
        <v>126</v>
      </c>
      <c r="I1104" s="66">
        <f>1900+81060+7500+2901+7170</f>
        <v>100531</v>
      </c>
      <c r="J1104" s="66"/>
      <c r="K1104" s="66">
        <f t="shared" si="187"/>
        <v>100531</v>
      </c>
      <c r="L1104" s="66"/>
      <c r="M1104" s="66"/>
      <c r="N1104" s="66"/>
      <c r="O1104" s="66">
        <f t="shared" si="188"/>
        <v>0</v>
      </c>
      <c r="P1104" s="67"/>
      <c r="Q1104" s="68">
        <f t="shared" si="189"/>
        <v>100531</v>
      </c>
      <c r="R1104" s="68">
        <f t="shared" si="190"/>
        <v>0</v>
      </c>
      <c r="S1104" s="68">
        <f t="shared" si="191"/>
        <v>100531</v>
      </c>
    </row>
    <row r="1105" spans="2:19" x14ac:dyDescent="0.2">
      <c r="B1105" s="48">
        <f t="shared" si="192"/>
        <v>611</v>
      </c>
      <c r="C1105" s="11"/>
      <c r="D1105" s="11"/>
      <c r="E1105" s="11"/>
      <c r="F1105" s="65"/>
      <c r="G1105" s="10">
        <v>635</v>
      </c>
      <c r="H1105" s="11" t="s">
        <v>134</v>
      </c>
      <c r="I1105" s="66">
        <v>5544</v>
      </c>
      <c r="J1105" s="66"/>
      <c r="K1105" s="66">
        <f t="shared" si="187"/>
        <v>5544</v>
      </c>
      <c r="L1105" s="66"/>
      <c r="M1105" s="66"/>
      <c r="N1105" s="66"/>
      <c r="O1105" s="66">
        <f t="shared" si="188"/>
        <v>0</v>
      </c>
      <c r="P1105" s="67"/>
      <c r="Q1105" s="68">
        <f t="shared" si="189"/>
        <v>5544</v>
      </c>
      <c r="R1105" s="68">
        <f t="shared" si="190"/>
        <v>0</v>
      </c>
      <c r="S1105" s="68">
        <f t="shared" si="191"/>
        <v>5544</v>
      </c>
    </row>
    <row r="1106" spans="2:19" x14ac:dyDescent="0.2">
      <c r="B1106" s="48">
        <f t="shared" si="192"/>
        <v>612</v>
      </c>
      <c r="C1106" s="11"/>
      <c r="D1106" s="11"/>
      <c r="E1106" s="11"/>
      <c r="F1106" s="65"/>
      <c r="G1106" s="10">
        <v>637</v>
      </c>
      <c r="H1106" s="11" t="s">
        <v>123</v>
      </c>
      <c r="I1106" s="66">
        <f>812+394+1019+650</f>
        <v>2875</v>
      </c>
      <c r="J1106" s="66"/>
      <c r="K1106" s="66">
        <f t="shared" si="187"/>
        <v>2875</v>
      </c>
      <c r="L1106" s="66"/>
      <c r="M1106" s="66"/>
      <c r="N1106" s="66"/>
      <c r="O1106" s="66">
        <f t="shared" si="188"/>
        <v>0</v>
      </c>
      <c r="P1106" s="67"/>
      <c r="Q1106" s="68">
        <f t="shared" si="189"/>
        <v>2875</v>
      </c>
      <c r="R1106" s="68">
        <f t="shared" si="190"/>
        <v>0</v>
      </c>
      <c r="S1106" s="68">
        <f t="shared" si="191"/>
        <v>2875</v>
      </c>
    </row>
    <row r="1107" spans="2:19" x14ac:dyDescent="0.2">
      <c r="B1107" s="48">
        <f t="shared" si="192"/>
        <v>613</v>
      </c>
      <c r="C1107" s="9"/>
      <c r="D1107" s="9"/>
      <c r="E1107" s="9"/>
      <c r="F1107" s="61" t="s">
        <v>80</v>
      </c>
      <c r="G1107" s="8">
        <v>640</v>
      </c>
      <c r="H1107" s="9" t="s">
        <v>130</v>
      </c>
      <c r="I1107" s="62">
        <v>250</v>
      </c>
      <c r="J1107" s="62"/>
      <c r="K1107" s="62">
        <f t="shared" si="187"/>
        <v>250</v>
      </c>
      <c r="L1107" s="62"/>
      <c r="M1107" s="62"/>
      <c r="N1107" s="62"/>
      <c r="O1107" s="62">
        <f t="shared" si="188"/>
        <v>0</v>
      </c>
      <c r="P1107" s="63"/>
      <c r="Q1107" s="64">
        <f t="shared" si="189"/>
        <v>250</v>
      </c>
      <c r="R1107" s="64">
        <f t="shared" si="190"/>
        <v>0</v>
      </c>
      <c r="S1107" s="64">
        <f t="shared" si="191"/>
        <v>250</v>
      </c>
    </row>
    <row r="1108" spans="2:19" s="164" customFormat="1" x14ac:dyDescent="0.2">
      <c r="B1108" s="48">
        <f t="shared" si="192"/>
        <v>614</v>
      </c>
      <c r="C1108" s="9"/>
      <c r="D1108" s="9"/>
      <c r="E1108" s="9"/>
      <c r="F1108" s="61" t="s">
        <v>50</v>
      </c>
      <c r="G1108" s="8">
        <v>610</v>
      </c>
      <c r="H1108" s="9" t="s">
        <v>132</v>
      </c>
      <c r="I1108" s="62">
        <f>1850+2500+4476+37298+6787</f>
        <v>52911</v>
      </c>
      <c r="J1108" s="62"/>
      <c r="K1108" s="62">
        <f t="shared" si="187"/>
        <v>52911</v>
      </c>
      <c r="L1108" s="62"/>
      <c r="M1108" s="62"/>
      <c r="N1108" s="62"/>
      <c r="O1108" s="62">
        <f t="shared" si="188"/>
        <v>0</v>
      </c>
      <c r="P1108" s="63"/>
      <c r="Q1108" s="64">
        <f t="shared" si="189"/>
        <v>52911</v>
      </c>
      <c r="R1108" s="64">
        <f t="shared" si="190"/>
        <v>0</v>
      </c>
      <c r="S1108" s="64">
        <f t="shared" si="191"/>
        <v>52911</v>
      </c>
    </row>
    <row r="1109" spans="2:19" x14ac:dyDescent="0.2">
      <c r="B1109" s="48">
        <f t="shared" si="192"/>
        <v>615</v>
      </c>
      <c r="C1109" s="9"/>
      <c r="D1109" s="9"/>
      <c r="E1109" s="9"/>
      <c r="F1109" s="61" t="s">
        <v>50</v>
      </c>
      <c r="G1109" s="8">
        <v>620</v>
      </c>
      <c r="H1109" s="9" t="s">
        <v>125</v>
      </c>
      <c r="I1109" s="62">
        <f>195+675+224+1225+5520+1150+295+10235</f>
        <v>19519</v>
      </c>
      <c r="J1109" s="62"/>
      <c r="K1109" s="62">
        <f t="shared" si="187"/>
        <v>19519</v>
      </c>
      <c r="L1109" s="62"/>
      <c r="M1109" s="62"/>
      <c r="N1109" s="62"/>
      <c r="O1109" s="62">
        <f t="shared" si="188"/>
        <v>0</v>
      </c>
      <c r="P1109" s="63"/>
      <c r="Q1109" s="64">
        <f t="shared" si="189"/>
        <v>19519</v>
      </c>
      <c r="R1109" s="64">
        <f t="shared" si="190"/>
        <v>0</v>
      </c>
      <c r="S1109" s="64">
        <f t="shared" si="191"/>
        <v>19519</v>
      </c>
    </row>
    <row r="1110" spans="2:19" s="164" customFormat="1" x14ac:dyDescent="0.2">
      <c r="B1110" s="48">
        <f t="shared" si="192"/>
        <v>616</v>
      </c>
      <c r="C1110" s="9"/>
      <c r="D1110" s="9"/>
      <c r="E1110" s="9"/>
      <c r="F1110" s="61" t="s">
        <v>50</v>
      </c>
      <c r="G1110" s="8">
        <v>630</v>
      </c>
      <c r="H1110" s="9" t="s">
        <v>122</v>
      </c>
      <c r="I1110" s="62">
        <f>I1114+I1113+I1112+I1111</f>
        <v>140584</v>
      </c>
      <c r="J1110" s="62">
        <f>J1114+J1113+J1112+J1111</f>
        <v>0</v>
      </c>
      <c r="K1110" s="62">
        <f t="shared" si="187"/>
        <v>140584</v>
      </c>
      <c r="L1110" s="62"/>
      <c r="M1110" s="62"/>
      <c r="N1110" s="62"/>
      <c r="O1110" s="62">
        <f t="shared" si="188"/>
        <v>0</v>
      </c>
      <c r="P1110" s="63"/>
      <c r="Q1110" s="64">
        <f t="shared" si="189"/>
        <v>140584</v>
      </c>
      <c r="R1110" s="64">
        <f t="shared" si="190"/>
        <v>0</v>
      </c>
      <c r="S1110" s="64">
        <f t="shared" si="191"/>
        <v>140584</v>
      </c>
    </row>
    <row r="1111" spans="2:19" x14ac:dyDescent="0.2">
      <c r="B1111" s="48">
        <f t="shared" si="192"/>
        <v>617</v>
      </c>
      <c r="C1111" s="11"/>
      <c r="D1111" s="11"/>
      <c r="E1111" s="11"/>
      <c r="F1111" s="65"/>
      <c r="G1111" s="10">
        <v>632</v>
      </c>
      <c r="H1111" s="11" t="s">
        <v>135</v>
      </c>
      <c r="I1111" s="66">
        <f>3069+22047+2207+269+250+250+400+22</f>
        <v>28514</v>
      </c>
      <c r="J1111" s="66"/>
      <c r="K1111" s="66">
        <f t="shared" si="187"/>
        <v>28514</v>
      </c>
      <c r="L1111" s="66"/>
      <c r="M1111" s="66"/>
      <c r="N1111" s="66"/>
      <c r="O1111" s="66">
        <f t="shared" si="188"/>
        <v>0</v>
      </c>
      <c r="P1111" s="67"/>
      <c r="Q1111" s="68">
        <f t="shared" si="189"/>
        <v>28514</v>
      </c>
      <c r="R1111" s="68">
        <f t="shared" si="190"/>
        <v>0</v>
      </c>
      <c r="S1111" s="68">
        <f t="shared" si="191"/>
        <v>28514</v>
      </c>
    </row>
    <row r="1112" spans="2:19" s="164" customFormat="1" x14ac:dyDescent="0.2">
      <c r="B1112" s="48">
        <f t="shared" si="192"/>
        <v>618</v>
      </c>
      <c r="C1112" s="11"/>
      <c r="D1112" s="11"/>
      <c r="E1112" s="11"/>
      <c r="F1112" s="65"/>
      <c r="G1112" s="10">
        <v>633</v>
      </c>
      <c r="H1112" s="11" t="s">
        <v>126</v>
      </c>
      <c r="I1112" s="66">
        <f>1895+84180+7500+2906+7170</f>
        <v>103651</v>
      </c>
      <c r="J1112" s="66"/>
      <c r="K1112" s="66">
        <f t="shared" si="187"/>
        <v>103651</v>
      </c>
      <c r="L1112" s="66"/>
      <c r="M1112" s="66"/>
      <c r="N1112" s="66"/>
      <c r="O1112" s="66">
        <f t="shared" si="188"/>
        <v>0</v>
      </c>
      <c r="P1112" s="67"/>
      <c r="Q1112" s="68">
        <f t="shared" si="189"/>
        <v>103651</v>
      </c>
      <c r="R1112" s="68">
        <f t="shared" si="190"/>
        <v>0</v>
      </c>
      <c r="S1112" s="68">
        <f t="shared" si="191"/>
        <v>103651</v>
      </c>
    </row>
    <row r="1113" spans="2:19" s="164" customFormat="1" x14ac:dyDescent="0.2">
      <c r="B1113" s="48">
        <f t="shared" si="192"/>
        <v>619</v>
      </c>
      <c r="C1113" s="11"/>
      <c r="D1113" s="11"/>
      <c r="E1113" s="11"/>
      <c r="F1113" s="65"/>
      <c r="G1113" s="10">
        <v>635</v>
      </c>
      <c r="H1113" s="11" t="s">
        <v>134</v>
      </c>
      <c r="I1113" s="66">
        <v>5544</v>
      </c>
      <c r="J1113" s="66"/>
      <c r="K1113" s="66">
        <f t="shared" si="187"/>
        <v>5544</v>
      </c>
      <c r="L1113" s="66"/>
      <c r="M1113" s="66"/>
      <c r="N1113" s="66"/>
      <c r="O1113" s="66">
        <f t="shared" si="188"/>
        <v>0</v>
      </c>
      <c r="P1113" s="67"/>
      <c r="Q1113" s="68">
        <f t="shared" si="189"/>
        <v>5544</v>
      </c>
      <c r="R1113" s="68">
        <f t="shared" si="190"/>
        <v>0</v>
      </c>
      <c r="S1113" s="68">
        <f t="shared" si="191"/>
        <v>5544</v>
      </c>
    </row>
    <row r="1114" spans="2:19" s="164" customFormat="1" x14ac:dyDescent="0.2">
      <c r="B1114" s="48">
        <f t="shared" si="192"/>
        <v>620</v>
      </c>
      <c r="C1114" s="11"/>
      <c r="D1114" s="11"/>
      <c r="E1114" s="11"/>
      <c r="F1114" s="65"/>
      <c r="G1114" s="10">
        <v>637</v>
      </c>
      <c r="H1114" s="11" t="s">
        <v>123</v>
      </c>
      <c r="I1114" s="66">
        <f>812+415+998+650</f>
        <v>2875</v>
      </c>
      <c r="J1114" s="66"/>
      <c r="K1114" s="66">
        <f t="shared" si="187"/>
        <v>2875</v>
      </c>
      <c r="L1114" s="66"/>
      <c r="M1114" s="66"/>
      <c r="N1114" s="66"/>
      <c r="O1114" s="66">
        <f t="shared" si="188"/>
        <v>0</v>
      </c>
      <c r="P1114" s="67"/>
      <c r="Q1114" s="68">
        <f t="shared" si="189"/>
        <v>2875</v>
      </c>
      <c r="R1114" s="68">
        <f t="shared" si="190"/>
        <v>0</v>
      </c>
      <c r="S1114" s="68">
        <f t="shared" si="191"/>
        <v>2875</v>
      </c>
    </row>
    <row r="1115" spans="2:19" s="164" customFormat="1" x14ac:dyDescent="0.2">
      <c r="B1115" s="48">
        <f t="shared" si="192"/>
        <v>621</v>
      </c>
      <c r="C1115" s="9"/>
      <c r="D1115" s="9"/>
      <c r="E1115" s="9"/>
      <c r="F1115" s="61" t="s">
        <v>50</v>
      </c>
      <c r="G1115" s="8">
        <v>640</v>
      </c>
      <c r="H1115" s="9" t="s">
        <v>130</v>
      </c>
      <c r="I1115" s="62">
        <v>250</v>
      </c>
      <c r="J1115" s="62"/>
      <c r="K1115" s="62">
        <f t="shared" si="187"/>
        <v>250</v>
      </c>
      <c r="L1115" s="62"/>
      <c r="M1115" s="62"/>
      <c r="N1115" s="62"/>
      <c r="O1115" s="62">
        <f t="shared" si="188"/>
        <v>0</v>
      </c>
      <c r="P1115" s="63"/>
      <c r="Q1115" s="64">
        <f t="shared" si="189"/>
        <v>250</v>
      </c>
      <c r="R1115" s="64">
        <f t="shared" si="190"/>
        <v>0</v>
      </c>
      <c r="S1115" s="64">
        <f t="shared" si="191"/>
        <v>250</v>
      </c>
    </row>
    <row r="1116" spans="2:19" s="164" customFormat="1" ht="15" x14ac:dyDescent="0.25">
      <c r="B1116" s="48">
        <f t="shared" si="192"/>
        <v>622</v>
      </c>
      <c r="C1116" s="166"/>
      <c r="D1116" s="166"/>
      <c r="E1116" s="166">
        <v>7</v>
      </c>
      <c r="F1116" s="167"/>
      <c r="G1116" s="167"/>
      <c r="H1116" s="166" t="s">
        <v>288</v>
      </c>
      <c r="I1116" s="168">
        <f>I1117+I1118+I1119+I1123+I1124+I1125+I1126</f>
        <v>470664</v>
      </c>
      <c r="J1116" s="168">
        <f>J1117+J1118+J1119+J1123+J1124+J1125+J1126</f>
        <v>-4415</v>
      </c>
      <c r="K1116" s="168">
        <f t="shared" si="187"/>
        <v>466249</v>
      </c>
      <c r="L1116" s="58"/>
      <c r="M1116" s="168"/>
      <c r="N1116" s="168">
        <f>N1131</f>
        <v>3115</v>
      </c>
      <c r="O1116" s="168">
        <f t="shared" si="188"/>
        <v>3115</v>
      </c>
      <c r="P1116" s="59"/>
      <c r="Q1116" s="169">
        <f t="shared" si="189"/>
        <v>470664</v>
      </c>
      <c r="R1116" s="169">
        <f t="shared" si="190"/>
        <v>-1300</v>
      </c>
      <c r="S1116" s="169">
        <f t="shared" si="191"/>
        <v>469364</v>
      </c>
    </row>
    <row r="1117" spans="2:19" x14ac:dyDescent="0.2">
      <c r="B1117" s="48">
        <f t="shared" si="192"/>
        <v>623</v>
      </c>
      <c r="C1117" s="9"/>
      <c r="D1117" s="9"/>
      <c r="E1117" s="9"/>
      <c r="F1117" s="61" t="s">
        <v>80</v>
      </c>
      <c r="G1117" s="8">
        <v>610</v>
      </c>
      <c r="H1117" s="9" t="s">
        <v>132</v>
      </c>
      <c r="I1117" s="62">
        <f>9300+2700+43000</f>
        <v>55000</v>
      </c>
      <c r="J1117" s="62"/>
      <c r="K1117" s="62">
        <f t="shared" si="187"/>
        <v>55000</v>
      </c>
      <c r="L1117" s="62"/>
      <c r="M1117" s="62"/>
      <c r="N1117" s="62"/>
      <c r="O1117" s="62">
        <f t="shared" si="188"/>
        <v>0</v>
      </c>
      <c r="P1117" s="63"/>
      <c r="Q1117" s="64">
        <f t="shared" si="189"/>
        <v>55000</v>
      </c>
      <c r="R1117" s="64">
        <f t="shared" si="190"/>
        <v>0</v>
      </c>
      <c r="S1117" s="64">
        <f t="shared" si="191"/>
        <v>55000</v>
      </c>
    </row>
    <row r="1118" spans="2:19" x14ac:dyDescent="0.2">
      <c r="B1118" s="48">
        <f t="shared" si="192"/>
        <v>624</v>
      </c>
      <c r="C1118" s="9"/>
      <c r="D1118" s="9"/>
      <c r="E1118" s="9"/>
      <c r="F1118" s="61" t="s">
        <v>80</v>
      </c>
      <c r="G1118" s="8">
        <v>620</v>
      </c>
      <c r="H1118" s="9" t="s">
        <v>125</v>
      </c>
      <c r="I1118" s="62">
        <f>2600+1600+4000+900+790+550+7700+770+470</f>
        <v>19380</v>
      </c>
      <c r="J1118" s="62"/>
      <c r="K1118" s="62">
        <f t="shared" si="187"/>
        <v>19380</v>
      </c>
      <c r="L1118" s="62"/>
      <c r="M1118" s="62"/>
      <c r="N1118" s="62"/>
      <c r="O1118" s="62">
        <f t="shared" si="188"/>
        <v>0</v>
      </c>
      <c r="P1118" s="63"/>
      <c r="Q1118" s="64">
        <f t="shared" si="189"/>
        <v>19380</v>
      </c>
      <c r="R1118" s="64">
        <f t="shared" si="190"/>
        <v>0</v>
      </c>
      <c r="S1118" s="64">
        <f t="shared" si="191"/>
        <v>19380</v>
      </c>
    </row>
    <row r="1119" spans="2:19" x14ac:dyDescent="0.2">
      <c r="B1119" s="48">
        <f t="shared" si="192"/>
        <v>625</v>
      </c>
      <c r="C1119" s="9"/>
      <c r="D1119" s="9"/>
      <c r="E1119" s="9"/>
      <c r="F1119" s="61" t="s">
        <v>80</v>
      </c>
      <c r="G1119" s="8">
        <v>630</v>
      </c>
      <c r="H1119" s="9" t="s">
        <v>122</v>
      </c>
      <c r="I1119" s="62">
        <f>SUM(I1120:I1122)</f>
        <v>112400</v>
      </c>
      <c r="J1119" s="62">
        <f>SUM(J1120:J1122)</f>
        <v>0</v>
      </c>
      <c r="K1119" s="62">
        <f t="shared" si="187"/>
        <v>112400</v>
      </c>
      <c r="L1119" s="62"/>
      <c r="M1119" s="62"/>
      <c r="N1119" s="62"/>
      <c r="O1119" s="62">
        <f t="shared" si="188"/>
        <v>0</v>
      </c>
      <c r="P1119" s="63"/>
      <c r="Q1119" s="64">
        <f t="shared" si="189"/>
        <v>112400</v>
      </c>
      <c r="R1119" s="64">
        <f t="shared" si="190"/>
        <v>0</v>
      </c>
      <c r="S1119" s="64">
        <f t="shared" si="191"/>
        <v>112400</v>
      </c>
    </row>
    <row r="1120" spans="2:19" x14ac:dyDescent="0.2">
      <c r="B1120" s="48">
        <f t="shared" si="192"/>
        <v>626</v>
      </c>
      <c r="C1120" s="11"/>
      <c r="D1120" s="11"/>
      <c r="E1120" s="11"/>
      <c r="F1120" s="65"/>
      <c r="G1120" s="10">
        <v>633</v>
      </c>
      <c r="H1120" s="11" t="s">
        <v>126</v>
      </c>
      <c r="I1120" s="66">
        <f>4200+81000+15500</f>
        <v>100700</v>
      </c>
      <c r="J1120" s="66"/>
      <c r="K1120" s="66">
        <f t="shared" si="187"/>
        <v>100700</v>
      </c>
      <c r="L1120" s="66"/>
      <c r="M1120" s="66"/>
      <c r="N1120" s="66"/>
      <c r="O1120" s="66">
        <f t="shared" si="188"/>
        <v>0</v>
      </c>
      <c r="P1120" s="67"/>
      <c r="Q1120" s="68">
        <f t="shared" si="189"/>
        <v>100700</v>
      </c>
      <c r="R1120" s="68">
        <f t="shared" si="190"/>
        <v>0</v>
      </c>
      <c r="S1120" s="68">
        <f t="shared" si="191"/>
        <v>100700</v>
      </c>
    </row>
    <row r="1121" spans="2:19" x14ac:dyDescent="0.2">
      <c r="B1121" s="48">
        <f t="shared" si="192"/>
        <v>627</v>
      </c>
      <c r="C1121" s="11"/>
      <c r="D1121" s="11"/>
      <c r="E1121" s="11"/>
      <c r="F1121" s="65"/>
      <c r="G1121" s="10">
        <v>635</v>
      </c>
      <c r="H1121" s="11" t="s">
        <v>134</v>
      </c>
      <c r="I1121" s="66">
        <f>2500+3100</f>
        <v>5600</v>
      </c>
      <c r="J1121" s="66"/>
      <c r="K1121" s="66">
        <f t="shared" si="187"/>
        <v>5600</v>
      </c>
      <c r="L1121" s="66"/>
      <c r="M1121" s="66"/>
      <c r="N1121" s="66"/>
      <c r="O1121" s="66">
        <f t="shared" si="188"/>
        <v>0</v>
      </c>
      <c r="P1121" s="67"/>
      <c r="Q1121" s="68">
        <f t="shared" si="189"/>
        <v>5600</v>
      </c>
      <c r="R1121" s="68">
        <f t="shared" si="190"/>
        <v>0</v>
      </c>
      <c r="S1121" s="68">
        <f t="shared" si="191"/>
        <v>5600</v>
      </c>
    </row>
    <row r="1122" spans="2:19" x14ac:dyDescent="0.2">
      <c r="B1122" s="48">
        <f t="shared" si="192"/>
        <v>628</v>
      </c>
      <c r="C1122" s="11"/>
      <c r="D1122" s="11"/>
      <c r="E1122" s="11"/>
      <c r="F1122" s="65"/>
      <c r="G1122" s="10">
        <v>637</v>
      </c>
      <c r="H1122" s="11" t="s">
        <v>123</v>
      </c>
      <c r="I1122" s="66">
        <f>4200+1200+700</f>
        <v>6100</v>
      </c>
      <c r="J1122" s="66"/>
      <c r="K1122" s="66">
        <f t="shared" si="187"/>
        <v>6100</v>
      </c>
      <c r="L1122" s="66"/>
      <c r="M1122" s="66"/>
      <c r="N1122" s="66"/>
      <c r="O1122" s="66">
        <f t="shared" si="188"/>
        <v>0</v>
      </c>
      <c r="P1122" s="67"/>
      <c r="Q1122" s="68">
        <f t="shared" si="189"/>
        <v>6100</v>
      </c>
      <c r="R1122" s="68">
        <f t="shared" si="190"/>
        <v>0</v>
      </c>
      <c r="S1122" s="68">
        <f t="shared" si="191"/>
        <v>6100</v>
      </c>
    </row>
    <row r="1123" spans="2:19" x14ac:dyDescent="0.2">
      <c r="B1123" s="48">
        <f t="shared" si="192"/>
        <v>629</v>
      </c>
      <c r="C1123" s="9"/>
      <c r="D1123" s="9"/>
      <c r="E1123" s="9"/>
      <c r="F1123" s="61" t="s">
        <v>80</v>
      </c>
      <c r="G1123" s="8">
        <v>640</v>
      </c>
      <c r="H1123" s="9" t="s">
        <v>130</v>
      </c>
      <c r="I1123" s="62">
        <v>1200</v>
      </c>
      <c r="J1123" s="62"/>
      <c r="K1123" s="62">
        <f t="shared" si="187"/>
        <v>1200</v>
      </c>
      <c r="L1123" s="62"/>
      <c r="M1123" s="62"/>
      <c r="N1123" s="62"/>
      <c r="O1123" s="62">
        <f t="shared" si="188"/>
        <v>0</v>
      </c>
      <c r="P1123" s="63"/>
      <c r="Q1123" s="64">
        <f t="shared" si="189"/>
        <v>1200</v>
      </c>
      <c r="R1123" s="64">
        <f t="shared" si="190"/>
        <v>0</v>
      </c>
      <c r="S1123" s="64">
        <f t="shared" si="191"/>
        <v>1200</v>
      </c>
    </row>
    <row r="1124" spans="2:19" x14ac:dyDescent="0.2">
      <c r="B1124" s="48">
        <f t="shared" si="192"/>
        <v>630</v>
      </c>
      <c r="C1124" s="9"/>
      <c r="D1124" s="9"/>
      <c r="E1124" s="9"/>
      <c r="F1124" s="61" t="s">
        <v>50</v>
      </c>
      <c r="G1124" s="8">
        <v>610</v>
      </c>
      <c r="H1124" s="9" t="s">
        <v>132</v>
      </c>
      <c r="I1124" s="62">
        <v>91679</v>
      </c>
      <c r="J1124" s="62"/>
      <c r="K1124" s="62">
        <f t="shared" si="187"/>
        <v>91679</v>
      </c>
      <c r="L1124" s="62"/>
      <c r="M1124" s="62"/>
      <c r="N1124" s="62"/>
      <c r="O1124" s="62">
        <f t="shared" si="188"/>
        <v>0</v>
      </c>
      <c r="P1124" s="63"/>
      <c r="Q1124" s="64">
        <f t="shared" si="189"/>
        <v>91679</v>
      </c>
      <c r="R1124" s="64">
        <f t="shared" si="190"/>
        <v>0</v>
      </c>
      <c r="S1124" s="64">
        <f t="shared" si="191"/>
        <v>91679</v>
      </c>
    </row>
    <row r="1125" spans="2:19" x14ac:dyDescent="0.2">
      <c r="B1125" s="48">
        <f t="shared" si="192"/>
        <v>631</v>
      </c>
      <c r="C1125" s="9"/>
      <c r="D1125" s="9"/>
      <c r="E1125" s="9"/>
      <c r="F1125" s="61" t="s">
        <v>50</v>
      </c>
      <c r="G1125" s="8">
        <v>620</v>
      </c>
      <c r="H1125" s="9" t="s">
        <v>125</v>
      </c>
      <c r="I1125" s="62">
        <v>32105</v>
      </c>
      <c r="J1125" s="62"/>
      <c r="K1125" s="62">
        <f t="shared" si="187"/>
        <v>32105</v>
      </c>
      <c r="L1125" s="62"/>
      <c r="M1125" s="62"/>
      <c r="N1125" s="62"/>
      <c r="O1125" s="62">
        <f t="shared" si="188"/>
        <v>0</v>
      </c>
      <c r="P1125" s="63"/>
      <c r="Q1125" s="64">
        <f t="shared" si="189"/>
        <v>32105</v>
      </c>
      <c r="R1125" s="64">
        <f t="shared" si="190"/>
        <v>0</v>
      </c>
      <c r="S1125" s="64">
        <f t="shared" si="191"/>
        <v>32105</v>
      </c>
    </row>
    <row r="1126" spans="2:19" x14ac:dyDescent="0.2">
      <c r="B1126" s="48">
        <f t="shared" si="192"/>
        <v>632</v>
      </c>
      <c r="C1126" s="9"/>
      <c r="D1126" s="9"/>
      <c r="E1126" s="9"/>
      <c r="F1126" s="61" t="s">
        <v>50</v>
      </c>
      <c r="G1126" s="8">
        <v>630</v>
      </c>
      <c r="H1126" s="9" t="s">
        <v>122</v>
      </c>
      <c r="I1126" s="62">
        <f>I1130+I1129+I1128+I1127</f>
        <v>158900</v>
      </c>
      <c r="J1126" s="62">
        <f>J1130+J1129+J1128+J1127</f>
        <v>-4415</v>
      </c>
      <c r="K1126" s="62">
        <f t="shared" si="187"/>
        <v>154485</v>
      </c>
      <c r="L1126" s="62"/>
      <c r="M1126" s="62"/>
      <c r="N1126" s="62"/>
      <c r="O1126" s="62">
        <f t="shared" si="188"/>
        <v>0</v>
      </c>
      <c r="P1126" s="63"/>
      <c r="Q1126" s="64">
        <f t="shared" si="189"/>
        <v>158900</v>
      </c>
      <c r="R1126" s="64">
        <f t="shared" si="190"/>
        <v>-4415</v>
      </c>
      <c r="S1126" s="64">
        <f t="shared" si="191"/>
        <v>154485</v>
      </c>
    </row>
    <row r="1127" spans="2:19" x14ac:dyDescent="0.2">
      <c r="B1127" s="48">
        <f t="shared" si="192"/>
        <v>633</v>
      </c>
      <c r="C1127" s="11"/>
      <c r="D1127" s="11"/>
      <c r="E1127" s="11"/>
      <c r="F1127" s="65"/>
      <c r="G1127" s="10">
        <v>632</v>
      </c>
      <c r="H1127" s="11" t="s">
        <v>135</v>
      </c>
      <c r="I1127" s="66">
        <v>4200</v>
      </c>
      <c r="J1127" s="66"/>
      <c r="K1127" s="66">
        <f t="shared" si="187"/>
        <v>4200</v>
      </c>
      <c r="L1127" s="66"/>
      <c r="M1127" s="66"/>
      <c r="N1127" s="66"/>
      <c r="O1127" s="66">
        <f t="shared" si="188"/>
        <v>0</v>
      </c>
      <c r="P1127" s="67"/>
      <c r="Q1127" s="68">
        <f t="shared" si="189"/>
        <v>4200</v>
      </c>
      <c r="R1127" s="68">
        <f t="shared" si="190"/>
        <v>0</v>
      </c>
      <c r="S1127" s="68">
        <f t="shared" si="191"/>
        <v>4200</v>
      </c>
    </row>
    <row r="1128" spans="2:19" x14ac:dyDescent="0.2">
      <c r="B1128" s="48">
        <f t="shared" si="192"/>
        <v>634</v>
      </c>
      <c r="C1128" s="11"/>
      <c r="D1128" s="11"/>
      <c r="E1128" s="11"/>
      <c r="F1128" s="65"/>
      <c r="G1128" s="10">
        <v>633</v>
      </c>
      <c r="H1128" s="11" t="s">
        <v>126</v>
      </c>
      <c r="I1128" s="66">
        <f>115000+24200+3700+3500</f>
        <v>146400</v>
      </c>
      <c r="J1128" s="66">
        <v>-3115</v>
      </c>
      <c r="K1128" s="66">
        <f t="shared" si="187"/>
        <v>143285</v>
      </c>
      <c r="L1128" s="66"/>
      <c r="M1128" s="66"/>
      <c r="N1128" s="66"/>
      <c r="O1128" s="66">
        <f t="shared" si="188"/>
        <v>0</v>
      </c>
      <c r="P1128" s="67"/>
      <c r="Q1128" s="68">
        <f t="shared" si="189"/>
        <v>146400</v>
      </c>
      <c r="R1128" s="68">
        <f t="shared" si="190"/>
        <v>-3115</v>
      </c>
      <c r="S1128" s="68">
        <f t="shared" si="191"/>
        <v>143285</v>
      </c>
    </row>
    <row r="1129" spans="2:19" x14ac:dyDescent="0.2">
      <c r="B1129" s="48">
        <f t="shared" si="192"/>
        <v>635</v>
      </c>
      <c r="C1129" s="11"/>
      <c r="D1129" s="11"/>
      <c r="E1129" s="11"/>
      <c r="F1129" s="65"/>
      <c r="G1129" s="10">
        <v>635</v>
      </c>
      <c r="H1129" s="11" t="s">
        <v>134</v>
      </c>
      <c r="I1129" s="66">
        <v>2500</v>
      </c>
      <c r="J1129" s="66"/>
      <c r="K1129" s="66">
        <f t="shared" si="187"/>
        <v>2500</v>
      </c>
      <c r="L1129" s="66"/>
      <c r="M1129" s="66"/>
      <c r="N1129" s="66"/>
      <c r="O1129" s="66">
        <f t="shared" si="188"/>
        <v>0</v>
      </c>
      <c r="P1129" s="67"/>
      <c r="Q1129" s="68">
        <f t="shared" si="189"/>
        <v>2500</v>
      </c>
      <c r="R1129" s="68">
        <f t="shared" si="190"/>
        <v>0</v>
      </c>
      <c r="S1129" s="68">
        <f t="shared" si="191"/>
        <v>2500</v>
      </c>
    </row>
    <row r="1130" spans="2:19" x14ac:dyDescent="0.2">
      <c r="B1130" s="48">
        <f t="shared" si="192"/>
        <v>636</v>
      </c>
      <c r="C1130" s="11"/>
      <c r="D1130" s="11"/>
      <c r="E1130" s="11"/>
      <c r="F1130" s="65"/>
      <c r="G1130" s="10">
        <v>637</v>
      </c>
      <c r="H1130" s="11" t="s">
        <v>123</v>
      </c>
      <c r="I1130" s="66">
        <f>1950+1000+2850</f>
        <v>5800</v>
      </c>
      <c r="J1130" s="66">
        <v>-1300</v>
      </c>
      <c r="K1130" s="66">
        <f t="shared" si="187"/>
        <v>4500</v>
      </c>
      <c r="L1130" s="66"/>
      <c r="M1130" s="66"/>
      <c r="N1130" s="66"/>
      <c r="O1130" s="66">
        <f t="shared" si="188"/>
        <v>0</v>
      </c>
      <c r="P1130" s="67"/>
      <c r="Q1130" s="68">
        <f t="shared" si="189"/>
        <v>5800</v>
      </c>
      <c r="R1130" s="68">
        <f t="shared" si="190"/>
        <v>-1300</v>
      </c>
      <c r="S1130" s="68">
        <f t="shared" si="191"/>
        <v>4500</v>
      </c>
    </row>
    <row r="1131" spans="2:19" x14ac:dyDescent="0.2">
      <c r="B1131" s="48">
        <f t="shared" si="192"/>
        <v>637</v>
      </c>
      <c r="C1131" s="9"/>
      <c r="D1131" s="9"/>
      <c r="E1131" s="9"/>
      <c r="F1131" s="61" t="s">
        <v>50</v>
      </c>
      <c r="G1131" s="8">
        <v>710</v>
      </c>
      <c r="H1131" s="9" t="s">
        <v>176</v>
      </c>
      <c r="I1131" s="62"/>
      <c r="J1131" s="62"/>
      <c r="K1131" s="62">
        <f t="shared" si="187"/>
        <v>0</v>
      </c>
      <c r="L1131" s="62"/>
      <c r="M1131" s="62">
        <f>M1132</f>
        <v>0</v>
      </c>
      <c r="N1131" s="62">
        <f>N1132</f>
        <v>3115</v>
      </c>
      <c r="O1131" s="62">
        <f t="shared" si="188"/>
        <v>3115</v>
      </c>
      <c r="P1131" s="63"/>
      <c r="Q1131" s="68">
        <f t="shared" si="189"/>
        <v>0</v>
      </c>
      <c r="R1131" s="68">
        <f t="shared" si="190"/>
        <v>3115</v>
      </c>
      <c r="S1131" s="68">
        <f t="shared" si="191"/>
        <v>3115</v>
      </c>
    </row>
    <row r="1132" spans="2:19" x14ac:dyDescent="0.2">
      <c r="B1132" s="48">
        <f t="shared" si="192"/>
        <v>638</v>
      </c>
      <c r="C1132" s="9"/>
      <c r="D1132" s="9"/>
      <c r="E1132" s="9"/>
      <c r="F1132" s="61"/>
      <c r="G1132" s="10">
        <v>713</v>
      </c>
      <c r="H1132" s="11" t="s">
        <v>219</v>
      </c>
      <c r="I1132" s="62"/>
      <c r="J1132" s="62"/>
      <c r="K1132" s="62">
        <f t="shared" si="187"/>
        <v>0</v>
      </c>
      <c r="L1132" s="62"/>
      <c r="M1132" s="66">
        <f>M1133</f>
        <v>0</v>
      </c>
      <c r="N1132" s="66">
        <f>N1133</f>
        <v>3115</v>
      </c>
      <c r="O1132" s="66">
        <f t="shared" si="188"/>
        <v>3115</v>
      </c>
      <c r="P1132" s="63"/>
      <c r="Q1132" s="68">
        <f t="shared" si="189"/>
        <v>0</v>
      </c>
      <c r="R1132" s="68">
        <f t="shared" si="190"/>
        <v>3115</v>
      </c>
      <c r="S1132" s="68">
        <f t="shared" si="191"/>
        <v>3115</v>
      </c>
    </row>
    <row r="1133" spans="2:19" x14ac:dyDescent="0.2">
      <c r="B1133" s="48">
        <f t="shared" si="192"/>
        <v>639</v>
      </c>
      <c r="C1133" s="9"/>
      <c r="D1133" s="9"/>
      <c r="E1133" s="9"/>
      <c r="F1133" s="61"/>
      <c r="G1133" s="82"/>
      <c r="H1133" s="13" t="s">
        <v>600</v>
      </c>
      <c r="I1133" s="62"/>
      <c r="J1133" s="62"/>
      <c r="K1133" s="62">
        <f t="shared" si="187"/>
        <v>0</v>
      </c>
      <c r="L1133" s="62"/>
      <c r="M1133" s="83">
        <v>0</v>
      </c>
      <c r="N1133" s="83">
        <v>3115</v>
      </c>
      <c r="O1133" s="83">
        <f t="shared" si="188"/>
        <v>3115</v>
      </c>
      <c r="P1133" s="63"/>
      <c r="Q1133" s="85">
        <f t="shared" si="189"/>
        <v>0</v>
      </c>
      <c r="R1133" s="85">
        <f t="shared" si="190"/>
        <v>3115</v>
      </c>
      <c r="S1133" s="85">
        <f t="shared" si="191"/>
        <v>3115</v>
      </c>
    </row>
    <row r="1134" spans="2:19" ht="15" x14ac:dyDescent="0.25">
      <c r="B1134" s="48">
        <f t="shared" si="192"/>
        <v>640</v>
      </c>
      <c r="C1134" s="166"/>
      <c r="D1134" s="166"/>
      <c r="E1134" s="166">
        <v>9</v>
      </c>
      <c r="F1134" s="167"/>
      <c r="G1134" s="167"/>
      <c r="H1134" s="166" t="s">
        <v>4</v>
      </c>
      <c r="I1134" s="168">
        <f>I1135+I1136+I1137+I1142+I1143+I1144+I1145+I1150</f>
        <v>474722</v>
      </c>
      <c r="J1134" s="168">
        <f>J1135+J1136+J1137+J1142+J1143+J1144+J1145+J1150</f>
        <v>613</v>
      </c>
      <c r="K1134" s="168">
        <f t="shared" si="187"/>
        <v>475335</v>
      </c>
      <c r="L1134" s="58"/>
      <c r="M1134" s="168"/>
      <c r="N1134" s="168"/>
      <c r="O1134" s="168">
        <f t="shared" si="188"/>
        <v>0</v>
      </c>
      <c r="P1134" s="59"/>
      <c r="Q1134" s="169">
        <f t="shared" si="189"/>
        <v>474722</v>
      </c>
      <c r="R1134" s="169">
        <f t="shared" si="190"/>
        <v>613</v>
      </c>
      <c r="S1134" s="169">
        <f t="shared" si="191"/>
        <v>475335</v>
      </c>
    </row>
    <row r="1135" spans="2:19" x14ac:dyDescent="0.2">
      <c r="B1135" s="48">
        <f t="shared" si="192"/>
        <v>641</v>
      </c>
      <c r="C1135" s="9"/>
      <c r="D1135" s="9"/>
      <c r="E1135" s="9"/>
      <c r="F1135" s="61" t="s">
        <v>80</v>
      </c>
      <c r="G1135" s="8">
        <v>610</v>
      </c>
      <c r="H1135" s="9" t="s">
        <v>132</v>
      </c>
      <c r="I1135" s="62">
        <v>57290</v>
      </c>
      <c r="J1135" s="62"/>
      <c r="K1135" s="62">
        <f t="shared" si="187"/>
        <v>57290</v>
      </c>
      <c r="L1135" s="62"/>
      <c r="M1135" s="62"/>
      <c r="N1135" s="62"/>
      <c r="O1135" s="62">
        <f t="shared" si="188"/>
        <v>0</v>
      </c>
      <c r="P1135" s="63"/>
      <c r="Q1135" s="64">
        <f t="shared" si="189"/>
        <v>57290</v>
      </c>
      <c r="R1135" s="64">
        <f t="shared" si="190"/>
        <v>0</v>
      </c>
      <c r="S1135" s="64">
        <f t="shared" si="191"/>
        <v>57290</v>
      </c>
    </row>
    <row r="1136" spans="2:19" x14ac:dyDescent="0.2">
      <c r="B1136" s="48">
        <f t="shared" si="192"/>
        <v>642</v>
      </c>
      <c r="C1136" s="9"/>
      <c r="D1136" s="9"/>
      <c r="E1136" s="9"/>
      <c r="F1136" s="61" t="s">
        <v>80</v>
      </c>
      <c r="G1136" s="8">
        <v>620</v>
      </c>
      <c r="H1136" s="9" t="s">
        <v>125</v>
      </c>
      <c r="I1136" s="62">
        <v>20590</v>
      </c>
      <c r="J1136" s="62"/>
      <c r="K1136" s="62">
        <f t="shared" si="187"/>
        <v>20590</v>
      </c>
      <c r="L1136" s="62"/>
      <c r="M1136" s="62"/>
      <c r="N1136" s="62"/>
      <c r="O1136" s="62">
        <f t="shared" si="188"/>
        <v>0</v>
      </c>
      <c r="P1136" s="63"/>
      <c r="Q1136" s="64">
        <f t="shared" si="189"/>
        <v>20590</v>
      </c>
      <c r="R1136" s="64">
        <f t="shared" si="190"/>
        <v>0</v>
      </c>
      <c r="S1136" s="64">
        <f t="shared" si="191"/>
        <v>20590</v>
      </c>
    </row>
    <row r="1137" spans="2:19" x14ac:dyDescent="0.2">
      <c r="B1137" s="48">
        <f t="shared" si="192"/>
        <v>643</v>
      </c>
      <c r="C1137" s="9"/>
      <c r="D1137" s="9"/>
      <c r="E1137" s="9"/>
      <c r="F1137" s="61" t="s">
        <v>80</v>
      </c>
      <c r="G1137" s="8">
        <v>630</v>
      </c>
      <c r="H1137" s="9" t="s">
        <v>122</v>
      </c>
      <c r="I1137" s="62">
        <f>I1141+I1140+I1139+I1138</f>
        <v>155629</v>
      </c>
      <c r="J1137" s="62">
        <f>J1141+J1140+J1139+J1138</f>
        <v>0</v>
      </c>
      <c r="K1137" s="62">
        <f t="shared" ref="K1137:K1203" si="193">I1137+J1137</f>
        <v>155629</v>
      </c>
      <c r="L1137" s="62"/>
      <c r="M1137" s="62"/>
      <c r="N1137" s="62"/>
      <c r="O1137" s="62">
        <f t="shared" ref="O1137:O1203" si="194">M1137+N1137</f>
        <v>0</v>
      </c>
      <c r="P1137" s="63"/>
      <c r="Q1137" s="64">
        <f t="shared" ref="Q1137:Q1200" si="195">I1137+M1137</f>
        <v>155629</v>
      </c>
      <c r="R1137" s="64">
        <f t="shared" ref="R1137:R1200" si="196">J1137+N1137</f>
        <v>0</v>
      </c>
      <c r="S1137" s="64">
        <f t="shared" ref="S1137:S1200" si="197">K1137+O1137</f>
        <v>155629</v>
      </c>
    </row>
    <row r="1138" spans="2:19" x14ac:dyDescent="0.2">
      <c r="B1138" s="48">
        <f t="shared" si="192"/>
        <v>644</v>
      </c>
      <c r="C1138" s="11"/>
      <c r="D1138" s="11"/>
      <c r="E1138" s="11"/>
      <c r="F1138" s="65"/>
      <c r="G1138" s="10">
        <v>632</v>
      </c>
      <c r="H1138" s="11" t="s">
        <v>135</v>
      </c>
      <c r="I1138" s="66">
        <f>1000+200+6000+15000</f>
        <v>22200</v>
      </c>
      <c r="J1138" s="66"/>
      <c r="K1138" s="66">
        <f t="shared" si="193"/>
        <v>22200</v>
      </c>
      <c r="L1138" s="66"/>
      <c r="M1138" s="66"/>
      <c r="N1138" s="66"/>
      <c r="O1138" s="66">
        <f t="shared" si="194"/>
        <v>0</v>
      </c>
      <c r="P1138" s="67"/>
      <c r="Q1138" s="68">
        <f t="shared" si="195"/>
        <v>22200</v>
      </c>
      <c r="R1138" s="68">
        <f t="shared" si="196"/>
        <v>0</v>
      </c>
      <c r="S1138" s="68">
        <f t="shared" si="197"/>
        <v>22200</v>
      </c>
    </row>
    <row r="1139" spans="2:19" x14ac:dyDescent="0.2">
      <c r="B1139" s="48">
        <f t="shared" si="192"/>
        <v>645</v>
      </c>
      <c r="C1139" s="11"/>
      <c r="D1139" s="11"/>
      <c r="E1139" s="11"/>
      <c r="F1139" s="65"/>
      <c r="G1139" s="10">
        <v>633</v>
      </c>
      <c r="H1139" s="11" t="s">
        <v>126</v>
      </c>
      <c r="I1139" s="66">
        <f>110704+1500+500</f>
        <v>112704</v>
      </c>
      <c r="J1139" s="66"/>
      <c r="K1139" s="66">
        <f t="shared" si="193"/>
        <v>112704</v>
      </c>
      <c r="L1139" s="66"/>
      <c r="M1139" s="66"/>
      <c r="N1139" s="66"/>
      <c r="O1139" s="66">
        <f t="shared" si="194"/>
        <v>0</v>
      </c>
      <c r="P1139" s="67"/>
      <c r="Q1139" s="68">
        <f t="shared" si="195"/>
        <v>112704</v>
      </c>
      <c r="R1139" s="68">
        <f t="shared" si="196"/>
        <v>0</v>
      </c>
      <c r="S1139" s="68">
        <f t="shared" si="197"/>
        <v>112704</v>
      </c>
    </row>
    <row r="1140" spans="2:19" x14ac:dyDescent="0.2">
      <c r="B1140" s="48">
        <f t="shared" si="192"/>
        <v>646</v>
      </c>
      <c r="C1140" s="11"/>
      <c r="D1140" s="11"/>
      <c r="E1140" s="11"/>
      <c r="F1140" s="65"/>
      <c r="G1140" s="10">
        <v>635</v>
      </c>
      <c r="H1140" s="11" t="s">
        <v>134</v>
      </c>
      <c r="I1140" s="66">
        <v>11000</v>
      </c>
      <c r="J1140" s="66"/>
      <c r="K1140" s="66">
        <f t="shared" si="193"/>
        <v>11000</v>
      </c>
      <c r="L1140" s="66"/>
      <c r="M1140" s="66"/>
      <c r="N1140" s="66"/>
      <c r="O1140" s="66">
        <f t="shared" si="194"/>
        <v>0</v>
      </c>
      <c r="P1140" s="67"/>
      <c r="Q1140" s="68">
        <f t="shared" si="195"/>
        <v>11000</v>
      </c>
      <c r="R1140" s="68">
        <f t="shared" si="196"/>
        <v>0</v>
      </c>
      <c r="S1140" s="68">
        <f t="shared" si="197"/>
        <v>11000</v>
      </c>
    </row>
    <row r="1141" spans="2:19" x14ac:dyDescent="0.2">
      <c r="B1141" s="48">
        <f t="shared" si="192"/>
        <v>647</v>
      </c>
      <c r="C1141" s="11"/>
      <c r="D1141" s="11"/>
      <c r="E1141" s="11"/>
      <c r="F1141" s="65"/>
      <c r="G1141" s="10">
        <v>637</v>
      </c>
      <c r="H1141" s="11" t="s">
        <v>123</v>
      </c>
      <c r="I1141" s="66">
        <v>9725</v>
      </c>
      <c r="J1141" s="66"/>
      <c r="K1141" s="66">
        <f t="shared" si="193"/>
        <v>9725</v>
      </c>
      <c r="L1141" s="66"/>
      <c r="M1141" s="66"/>
      <c r="N1141" s="66"/>
      <c r="O1141" s="66">
        <f t="shared" si="194"/>
        <v>0</v>
      </c>
      <c r="P1141" s="67"/>
      <c r="Q1141" s="68">
        <f t="shared" si="195"/>
        <v>9725</v>
      </c>
      <c r="R1141" s="68">
        <f t="shared" si="196"/>
        <v>0</v>
      </c>
      <c r="S1141" s="68">
        <f t="shared" si="197"/>
        <v>9725</v>
      </c>
    </row>
    <row r="1142" spans="2:19" x14ac:dyDescent="0.2">
      <c r="B1142" s="48">
        <f t="shared" si="192"/>
        <v>648</v>
      </c>
      <c r="C1142" s="9"/>
      <c r="D1142" s="9"/>
      <c r="E1142" s="9"/>
      <c r="F1142" s="61" t="s">
        <v>80</v>
      </c>
      <c r="G1142" s="8">
        <v>640</v>
      </c>
      <c r="H1142" s="9" t="s">
        <v>130</v>
      </c>
      <c r="I1142" s="62">
        <v>500</v>
      </c>
      <c r="J1142" s="62"/>
      <c r="K1142" s="62">
        <f t="shared" si="193"/>
        <v>500</v>
      </c>
      <c r="L1142" s="62"/>
      <c r="M1142" s="62"/>
      <c r="N1142" s="62"/>
      <c r="O1142" s="62">
        <f t="shared" si="194"/>
        <v>0</v>
      </c>
      <c r="P1142" s="63"/>
      <c r="Q1142" s="64">
        <f t="shared" si="195"/>
        <v>500</v>
      </c>
      <c r="R1142" s="64">
        <f t="shared" si="196"/>
        <v>0</v>
      </c>
      <c r="S1142" s="64">
        <f t="shared" si="197"/>
        <v>500</v>
      </c>
    </row>
    <row r="1143" spans="2:19" x14ac:dyDescent="0.2">
      <c r="B1143" s="48">
        <f t="shared" si="192"/>
        <v>649</v>
      </c>
      <c r="C1143" s="9"/>
      <c r="D1143" s="9"/>
      <c r="E1143" s="9"/>
      <c r="F1143" s="61" t="s">
        <v>50</v>
      </c>
      <c r="G1143" s="8">
        <v>610</v>
      </c>
      <c r="H1143" s="9" t="s">
        <v>132</v>
      </c>
      <c r="I1143" s="62">
        <v>57290</v>
      </c>
      <c r="J1143" s="62"/>
      <c r="K1143" s="62">
        <f t="shared" si="193"/>
        <v>57290</v>
      </c>
      <c r="L1143" s="62"/>
      <c r="M1143" s="62"/>
      <c r="N1143" s="62"/>
      <c r="O1143" s="62">
        <f t="shared" si="194"/>
        <v>0</v>
      </c>
      <c r="P1143" s="63"/>
      <c r="Q1143" s="64">
        <f t="shared" si="195"/>
        <v>57290</v>
      </c>
      <c r="R1143" s="64">
        <f t="shared" si="196"/>
        <v>0</v>
      </c>
      <c r="S1143" s="64">
        <f t="shared" si="197"/>
        <v>57290</v>
      </c>
    </row>
    <row r="1144" spans="2:19" x14ac:dyDescent="0.2">
      <c r="B1144" s="48">
        <f t="shared" si="192"/>
        <v>650</v>
      </c>
      <c r="C1144" s="9"/>
      <c r="D1144" s="9"/>
      <c r="E1144" s="9"/>
      <c r="F1144" s="61" t="s">
        <v>50</v>
      </c>
      <c r="G1144" s="8">
        <v>620</v>
      </c>
      <c r="H1144" s="9" t="s">
        <v>125</v>
      </c>
      <c r="I1144" s="62">
        <v>20590</v>
      </c>
      <c r="J1144" s="62"/>
      <c r="K1144" s="62">
        <f t="shared" si="193"/>
        <v>20590</v>
      </c>
      <c r="L1144" s="62"/>
      <c r="M1144" s="62"/>
      <c r="N1144" s="62"/>
      <c r="O1144" s="62">
        <f t="shared" si="194"/>
        <v>0</v>
      </c>
      <c r="P1144" s="63"/>
      <c r="Q1144" s="64">
        <f t="shared" si="195"/>
        <v>20590</v>
      </c>
      <c r="R1144" s="64">
        <f t="shared" si="196"/>
        <v>0</v>
      </c>
      <c r="S1144" s="64">
        <f t="shared" si="197"/>
        <v>20590</v>
      </c>
    </row>
    <row r="1145" spans="2:19" x14ac:dyDescent="0.2">
      <c r="B1145" s="48">
        <f t="shared" si="192"/>
        <v>651</v>
      </c>
      <c r="C1145" s="9"/>
      <c r="D1145" s="9"/>
      <c r="E1145" s="9"/>
      <c r="F1145" s="61" t="s">
        <v>50</v>
      </c>
      <c r="G1145" s="8">
        <v>630</v>
      </c>
      <c r="H1145" s="9" t="s">
        <v>122</v>
      </c>
      <c r="I1145" s="62">
        <f>I1149+I1148+I1147+I1146</f>
        <v>162333</v>
      </c>
      <c r="J1145" s="62">
        <f>J1149+J1148+J1147+J1146</f>
        <v>613</v>
      </c>
      <c r="K1145" s="62">
        <f t="shared" si="193"/>
        <v>162946</v>
      </c>
      <c r="L1145" s="62"/>
      <c r="M1145" s="62"/>
      <c r="N1145" s="62"/>
      <c r="O1145" s="62">
        <f t="shared" si="194"/>
        <v>0</v>
      </c>
      <c r="P1145" s="63"/>
      <c r="Q1145" s="64">
        <f t="shared" si="195"/>
        <v>162333</v>
      </c>
      <c r="R1145" s="64">
        <f t="shared" si="196"/>
        <v>613</v>
      </c>
      <c r="S1145" s="64">
        <f t="shared" si="197"/>
        <v>162946</v>
      </c>
    </row>
    <row r="1146" spans="2:19" s="164" customFormat="1" x14ac:dyDescent="0.2">
      <c r="B1146" s="48">
        <f t="shared" si="192"/>
        <v>652</v>
      </c>
      <c r="C1146" s="11"/>
      <c r="D1146" s="11"/>
      <c r="E1146" s="11"/>
      <c r="F1146" s="65"/>
      <c r="G1146" s="10">
        <v>632</v>
      </c>
      <c r="H1146" s="11" t="s">
        <v>135</v>
      </c>
      <c r="I1146" s="66">
        <f>200+15000+6000+1000</f>
        <v>22200</v>
      </c>
      <c r="J1146" s="66"/>
      <c r="K1146" s="66">
        <f t="shared" si="193"/>
        <v>22200</v>
      </c>
      <c r="L1146" s="66"/>
      <c r="M1146" s="66"/>
      <c r="N1146" s="66"/>
      <c r="O1146" s="66">
        <f t="shared" si="194"/>
        <v>0</v>
      </c>
      <c r="P1146" s="67"/>
      <c r="Q1146" s="68">
        <f t="shared" si="195"/>
        <v>22200</v>
      </c>
      <c r="R1146" s="68">
        <f t="shared" si="196"/>
        <v>0</v>
      </c>
      <c r="S1146" s="68">
        <f t="shared" si="197"/>
        <v>22200</v>
      </c>
    </row>
    <row r="1147" spans="2:19" s="164" customFormat="1" x14ac:dyDescent="0.2">
      <c r="B1147" s="48">
        <f t="shared" si="192"/>
        <v>653</v>
      </c>
      <c r="C1147" s="11"/>
      <c r="D1147" s="11"/>
      <c r="E1147" s="11"/>
      <c r="F1147" s="65"/>
      <c r="G1147" s="10">
        <v>633</v>
      </c>
      <c r="H1147" s="11" t="s">
        <v>126</v>
      </c>
      <c r="I1147" s="66">
        <f>83028+1500+500+34380</f>
        <v>119408</v>
      </c>
      <c r="J1147" s="66">
        <v>613</v>
      </c>
      <c r="K1147" s="66">
        <f t="shared" si="193"/>
        <v>120021</v>
      </c>
      <c r="L1147" s="66"/>
      <c r="M1147" s="66"/>
      <c r="N1147" s="66"/>
      <c r="O1147" s="66">
        <f t="shared" si="194"/>
        <v>0</v>
      </c>
      <c r="P1147" s="67"/>
      <c r="Q1147" s="68">
        <f t="shared" si="195"/>
        <v>119408</v>
      </c>
      <c r="R1147" s="68">
        <f t="shared" si="196"/>
        <v>613</v>
      </c>
      <c r="S1147" s="68">
        <f t="shared" si="197"/>
        <v>120021</v>
      </c>
    </row>
    <row r="1148" spans="2:19" s="164" customFormat="1" x14ac:dyDescent="0.2">
      <c r="B1148" s="48">
        <f t="shared" si="192"/>
        <v>654</v>
      </c>
      <c r="C1148" s="11"/>
      <c r="D1148" s="11"/>
      <c r="E1148" s="11"/>
      <c r="F1148" s="65"/>
      <c r="G1148" s="10">
        <v>635</v>
      </c>
      <c r="H1148" s="11" t="s">
        <v>134</v>
      </c>
      <c r="I1148" s="66">
        <v>11000</v>
      </c>
      <c r="J1148" s="66"/>
      <c r="K1148" s="66">
        <f t="shared" si="193"/>
        <v>11000</v>
      </c>
      <c r="L1148" s="66"/>
      <c r="M1148" s="66"/>
      <c r="N1148" s="66"/>
      <c r="O1148" s="66">
        <f t="shared" si="194"/>
        <v>0</v>
      </c>
      <c r="P1148" s="67"/>
      <c r="Q1148" s="68">
        <f t="shared" si="195"/>
        <v>11000</v>
      </c>
      <c r="R1148" s="68">
        <f t="shared" si="196"/>
        <v>0</v>
      </c>
      <c r="S1148" s="68">
        <f t="shared" si="197"/>
        <v>11000</v>
      </c>
    </row>
    <row r="1149" spans="2:19" x14ac:dyDescent="0.2">
      <c r="B1149" s="48">
        <f t="shared" si="192"/>
        <v>655</v>
      </c>
      <c r="C1149" s="11"/>
      <c r="D1149" s="11"/>
      <c r="E1149" s="11"/>
      <c r="F1149" s="65"/>
      <c r="G1149" s="10">
        <v>637</v>
      </c>
      <c r="H1149" s="11" t="s">
        <v>123</v>
      </c>
      <c r="I1149" s="66">
        <f>150+2875+600+100+6000</f>
        <v>9725</v>
      </c>
      <c r="J1149" s="66"/>
      <c r="K1149" s="66">
        <f t="shared" si="193"/>
        <v>9725</v>
      </c>
      <c r="L1149" s="66"/>
      <c r="M1149" s="66"/>
      <c r="N1149" s="66"/>
      <c r="O1149" s="66">
        <f t="shared" si="194"/>
        <v>0</v>
      </c>
      <c r="P1149" s="67"/>
      <c r="Q1149" s="68">
        <f t="shared" si="195"/>
        <v>9725</v>
      </c>
      <c r="R1149" s="68">
        <f t="shared" si="196"/>
        <v>0</v>
      </c>
      <c r="S1149" s="68">
        <f t="shared" si="197"/>
        <v>9725</v>
      </c>
    </row>
    <row r="1150" spans="2:19" s="164" customFormat="1" x14ac:dyDescent="0.2">
      <c r="B1150" s="48">
        <f t="shared" si="192"/>
        <v>656</v>
      </c>
      <c r="C1150" s="9"/>
      <c r="D1150" s="9"/>
      <c r="E1150" s="9"/>
      <c r="F1150" s="61" t="s">
        <v>50</v>
      </c>
      <c r="G1150" s="8">
        <v>640</v>
      </c>
      <c r="H1150" s="9" t="s">
        <v>130</v>
      </c>
      <c r="I1150" s="62">
        <v>500</v>
      </c>
      <c r="J1150" s="62"/>
      <c r="K1150" s="62">
        <f t="shared" si="193"/>
        <v>500</v>
      </c>
      <c r="L1150" s="62"/>
      <c r="M1150" s="62"/>
      <c r="N1150" s="62"/>
      <c r="O1150" s="62">
        <f t="shared" si="194"/>
        <v>0</v>
      </c>
      <c r="P1150" s="63"/>
      <c r="Q1150" s="64">
        <f t="shared" si="195"/>
        <v>500</v>
      </c>
      <c r="R1150" s="64">
        <f t="shared" si="196"/>
        <v>0</v>
      </c>
      <c r="S1150" s="64">
        <f t="shared" si="197"/>
        <v>500</v>
      </c>
    </row>
    <row r="1151" spans="2:19" s="164" customFormat="1" ht="15" x14ac:dyDescent="0.25">
      <c r="B1151" s="48">
        <f t="shared" si="192"/>
        <v>657</v>
      </c>
      <c r="C1151" s="166"/>
      <c r="D1151" s="166"/>
      <c r="E1151" s="166">
        <v>10</v>
      </c>
      <c r="F1151" s="167"/>
      <c r="G1151" s="167"/>
      <c r="H1151" s="166" t="s">
        <v>0</v>
      </c>
      <c r="I1151" s="168">
        <f>I1152+I1154+I1155+I1156+I1161+I1162+I1163+I1164+I1169</f>
        <v>489714</v>
      </c>
      <c r="J1151" s="168">
        <f>J1152+J1154+J1155+J1156+J1161+J1162+J1163+J1164+J1169</f>
        <v>-7000</v>
      </c>
      <c r="K1151" s="168">
        <f t="shared" si="193"/>
        <v>482714</v>
      </c>
      <c r="L1151" s="58"/>
      <c r="M1151" s="168"/>
      <c r="N1151" s="168">
        <f>N1170</f>
        <v>7000</v>
      </c>
      <c r="O1151" s="168">
        <f t="shared" si="194"/>
        <v>7000</v>
      </c>
      <c r="P1151" s="59"/>
      <c r="Q1151" s="169">
        <f t="shared" si="195"/>
        <v>489714</v>
      </c>
      <c r="R1151" s="169">
        <f t="shared" si="196"/>
        <v>0</v>
      </c>
      <c r="S1151" s="169">
        <f t="shared" si="197"/>
        <v>489714</v>
      </c>
    </row>
    <row r="1152" spans="2:19" s="164" customFormat="1" x14ac:dyDescent="0.2">
      <c r="B1152" s="48">
        <f t="shared" si="192"/>
        <v>658</v>
      </c>
      <c r="C1152" s="9"/>
      <c r="D1152" s="9"/>
      <c r="E1152" s="9"/>
      <c r="F1152" s="61" t="s">
        <v>161</v>
      </c>
      <c r="G1152" s="8">
        <v>630</v>
      </c>
      <c r="H1152" s="9" t="s">
        <v>122</v>
      </c>
      <c r="I1152" s="62">
        <f>I1153</f>
        <v>75891</v>
      </c>
      <c r="J1152" s="62">
        <f>J1153</f>
        <v>0</v>
      </c>
      <c r="K1152" s="62">
        <f t="shared" si="193"/>
        <v>75891</v>
      </c>
      <c r="L1152" s="62"/>
      <c r="M1152" s="62"/>
      <c r="N1152" s="62"/>
      <c r="O1152" s="62">
        <f t="shared" si="194"/>
        <v>0</v>
      </c>
      <c r="P1152" s="63"/>
      <c r="Q1152" s="64">
        <f t="shared" si="195"/>
        <v>75891</v>
      </c>
      <c r="R1152" s="64">
        <f t="shared" si="196"/>
        <v>0</v>
      </c>
      <c r="S1152" s="64">
        <f t="shared" si="197"/>
        <v>75891</v>
      </c>
    </row>
    <row r="1153" spans="2:19" s="164" customFormat="1" x14ac:dyDescent="0.2">
      <c r="B1153" s="48">
        <f t="shared" si="192"/>
        <v>659</v>
      </c>
      <c r="C1153" s="11"/>
      <c r="D1153" s="11"/>
      <c r="E1153" s="11"/>
      <c r="F1153" s="65"/>
      <c r="G1153" s="10">
        <v>633</v>
      </c>
      <c r="H1153" s="11" t="s">
        <v>126</v>
      </c>
      <c r="I1153" s="66">
        <v>75891</v>
      </c>
      <c r="J1153" s="66"/>
      <c r="K1153" s="66">
        <f t="shared" si="193"/>
        <v>75891</v>
      </c>
      <c r="L1153" s="66"/>
      <c r="M1153" s="66"/>
      <c r="N1153" s="66"/>
      <c r="O1153" s="66">
        <f t="shared" si="194"/>
        <v>0</v>
      </c>
      <c r="P1153" s="67"/>
      <c r="Q1153" s="68">
        <f t="shared" si="195"/>
        <v>75891</v>
      </c>
      <c r="R1153" s="68">
        <f t="shared" si="196"/>
        <v>0</v>
      </c>
      <c r="S1153" s="68">
        <f t="shared" si="197"/>
        <v>75891</v>
      </c>
    </row>
    <row r="1154" spans="2:19" x14ac:dyDescent="0.2">
      <c r="B1154" s="48">
        <f t="shared" si="192"/>
        <v>660</v>
      </c>
      <c r="C1154" s="9"/>
      <c r="D1154" s="9"/>
      <c r="E1154" s="9"/>
      <c r="F1154" s="61" t="s">
        <v>80</v>
      </c>
      <c r="G1154" s="8">
        <v>610</v>
      </c>
      <c r="H1154" s="9" t="s">
        <v>132</v>
      </c>
      <c r="I1154" s="62">
        <v>53200</v>
      </c>
      <c r="J1154" s="62"/>
      <c r="K1154" s="62">
        <f t="shared" si="193"/>
        <v>53200</v>
      </c>
      <c r="L1154" s="62"/>
      <c r="M1154" s="62"/>
      <c r="N1154" s="62"/>
      <c r="O1154" s="62">
        <f t="shared" si="194"/>
        <v>0</v>
      </c>
      <c r="P1154" s="63"/>
      <c r="Q1154" s="64">
        <f t="shared" si="195"/>
        <v>53200</v>
      </c>
      <c r="R1154" s="64">
        <f t="shared" si="196"/>
        <v>0</v>
      </c>
      <c r="S1154" s="64">
        <f t="shared" si="197"/>
        <v>53200</v>
      </c>
    </row>
    <row r="1155" spans="2:19" s="164" customFormat="1" x14ac:dyDescent="0.2">
      <c r="B1155" s="48">
        <f t="shared" si="192"/>
        <v>661</v>
      </c>
      <c r="C1155" s="9"/>
      <c r="D1155" s="9"/>
      <c r="E1155" s="9"/>
      <c r="F1155" s="61" t="s">
        <v>80</v>
      </c>
      <c r="G1155" s="8">
        <v>620</v>
      </c>
      <c r="H1155" s="9" t="s">
        <v>125</v>
      </c>
      <c r="I1155" s="62">
        <v>18944</v>
      </c>
      <c r="J1155" s="62"/>
      <c r="K1155" s="62">
        <f t="shared" si="193"/>
        <v>18944</v>
      </c>
      <c r="L1155" s="62"/>
      <c r="M1155" s="62"/>
      <c r="N1155" s="62"/>
      <c r="O1155" s="62">
        <f t="shared" si="194"/>
        <v>0</v>
      </c>
      <c r="P1155" s="63"/>
      <c r="Q1155" s="64">
        <f t="shared" si="195"/>
        <v>18944</v>
      </c>
      <c r="R1155" s="64">
        <f t="shared" si="196"/>
        <v>0</v>
      </c>
      <c r="S1155" s="64">
        <f t="shared" si="197"/>
        <v>18944</v>
      </c>
    </row>
    <row r="1156" spans="2:19" s="164" customFormat="1" x14ac:dyDescent="0.2">
      <c r="B1156" s="48">
        <f t="shared" si="192"/>
        <v>662</v>
      </c>
      <c r="C1156" s="9"/>
      <c r="D1156" s="9"/>
      <c r="E1156" s="9"/>
      <c r="F1156" s="61" t="s">
        <v>80</v>
      </c>
      <c r="G1156" s="8">
        <v>630</v>
      </c>
      <c r="H1156" s="9" t="s">
        <v>122</v>
      </c>
      <c r="I1156" s="62">
        <f>SUM(I1157:I1160)</f>
        <v>126252</v>
      </c>
      <c r="J1156" s="62">
        <f>SUM(J1157:J1160)</f>
        <v>-3500</v>
      </c>
      <c r="K1156" s="62">
        <f t="shared" si="193"/>
        <v>122752</v>
      </c>
      <c r="L1156" s="62"/>
      <c r="M1156" s="62"/>
      <c r="N1156" s="62"/>
      <c r="O1156" s="62">
        <f t="shared" si="194"/>
        <v>0</v>
      </c>
      <c r="P1156" s="63"/>
      <c r="Q1156" s="64">
        <f t="shared" si="195"/>
        <v>126252</v>
      </c>
      <c r="R1156" s="64">
        <f t="shared" si="196"/>
        <v>-3500</v>
      </c>
      <c r="S1156" s="64">
        <f t="shared" si="197"/>
        <v>122752</v>
      </c>
    </row>
    <row r="1157" spans="2:19" s="164" customFormat="1" x14ac:dyDescent="0.2">
      <c r="B1157" s="48">
        <f t="shared" si="192"/>
        <v>663</v>
      </c>
      <c r="C1157" s="11"/>
      <c r="D1157" s="11"/>
      <c r="E1157" s="11"/>
      <c r="F1157" s="65"/>
      <c r="G1157" s="10">
        <v>632</v>
      </c>
      <c r="H1157" s="11" t="s">
        <v>135</v>
      </c>
      <c r="I1157" s="66">
        <f>500+1000+1095+7905+1800</f>
        <v>12300</v>
      </c>
      <c r="J1157" s="66">
        <v>-3500</v>
      </c>
      <c r="K1157" s="66">
        <f t="shared" si="193"/>
        <v>8800</v>
      </c>
      <c r="L1157" s="66"/>
      <c r="M1157" s="66"/>
      <c r="N1157" s="66"/>
      <c r="O1157" s="66">
        <f t="shared" si="194"/>
        <v>0</v>
      </c>
      <c r="P1157" s="67"/>
      <c r="Q1157" s="68">
        <f t="shared" si="195"/>
        <v>12300</v>
      </c>
      <c r="R1157" s="68">
        <f t="shared" si="196"/>
        <v>-3500</v>
      </c>
      <c r="S1157" s="68">
        <f t="shared" si="197"/>
        <v>8800</v>
      </c>
    </row>
    <row r="1158" spans="2:19" s="164" customFormat="1" x14ac:dyDescent="0.2">
      <c r="B1158" s="48">
        <f t="shared" si="192"/>
        <v>664</v>
      </c>
      <c r="C1158" s="11"/>
      <c r="D1158" s="11"/>
      <c r="E1158" s="11"/>
      <c r="F1158" s="65"/>
      <c r="G1158" s="10">
        <v>633</v>
      </c>
      <c r="H1158" s="11" t="s">
        <v>126</v>
      </c>
      <c r="I1158" s="66">
        <f>2000+500+1000+500+3500+500+91852</f>
        <v>99852</v>
      </c>
      <c r="J1158" s="66"/>
      <c r="K1158" s="66">
        <f t="shared" si="193"/>
        <v>99852</v>
      </c>
      <c r="L1158" s="66"/>
      <c r="M1158" s="66"/>
      <c r="N1158" s="66"/>
      <c r="O1158" s="66">
        <f t="shared" si="194"/>
        <v>0</v>
      </c>
      <c r="P1158" s="67"/>
      <c r="Q1158" s="68">
        <f t="shared" si="195"/>
        <v>99852</v>
      </c>
      <c r="R1158" s="68">
        <f t="shared" si="196"/>
        <v>0</v>
      </c>
      <c r="S1158" s="68">
        <f t="shared" si="197"/>
        <v>99852</v>
      </c>
    </row>
    <row r="1159" spans="2:19" s="164" customFormat="1" x14ac:dyDescent="0.2">
      <c r="B1159" s="48">
        <f t="shared" si="192"/>
        <v>665</v>
      </c>
      <c r="C1159" s="11"/>
      <c r="D1159" s="11"/>
      <c r="E1159" s="11"/>
      <c r="F1159" s="65"/>
      <c r="G1159" s="10">
        <v>635</v>
      </c>
      <c r="H1159" s="11" t="s">
        <v>134</v>
      </c>
      <c r="I1159" s="66">
        <v>7500</v>
      </c>
      <c r="J1159" s="66"/>
      <c r="K1159" s="66">
        <f t="shared" si="193"/>
        <v>7500</v>
      </c>
      <c r="L1159" s="66"/>
      <c r="M1159" s="66"/>
      <c r="N1159" s="66"/>
      <c r="O1159" s="66">
        <f t="shared" si="194"/>
        <v>0</v>
      </c>
      <c r="P1159" s="67"/>
      <c r="Q1159" s="68">
        <f t="shared" si="195"/>
        <v>7500</v>
      </c>
      <c r="R1159" s="68">
        <f t="shared" si="196"/>
        <v>0</v>
      </c>
      <c r="S1159" s="68">
        <f t="shared" si="197"/>
        <v>7500</v>
      </c>
    </row>
    <row r="1160" spans="2:19" x14ac:dyDescent="0.2">
      <c r="B1160" s="48">
        <f t="shared" si="192"/>
        <v>666</v>
      </c>
      <c r="C1160" s="11"/>
      <c r="D1160" s="11"/>
      <c r="E1160" s="11"/>
      <c r="F1160" s="65"/>
      <c r="G1160" s="10">
        <v>637</v>
      </c>
      <c r="H1160" s="11" t="s">
        <v>123</v>
      </c>
      <c r="I1160" s="66">
        <v>6600</v>
      </c>
      <c r="J1160" s="66"/>
      <c r="K1160" s="66">
        <f t="shared" si="193"/>
        <v>6600</v>
      </c>
      <c r="L1160" s="66"/>
      <c r="M1160" s="66"/>
      <c r="N1160" s="66"/>
      <c r="O1160" s="66">
        <f t="shared" si="194"/>
        <v>0</v>
      </c>
      <c r="P1160" s="67"/>
      <c r="Q1160" s="68">
        <f t="shared" si="195"/>
        <v>6600</v>
      </c>
      <c r="R1160" s="68">
        <f t="shared" si="196"/>
        <v>0</v>
      </c>
      <c r="S1160" s="68">
        <f t="shared" si="197"/>
        <v>6600</v>
      </c>
    </row>
    <row r="1161" spans="2:19" x14ac:dyDescent="0.2">
      <c r="B1161" s="48">
        <f t="shared" si="192"/>
        <v>667</v>
      </c>
      <c r="C1161" s="9"/>
      <c r="D1161" s="9"/>
      <c r="E1161" s="9"/>
      <c r="F1161" s="61" t="s">
        <v>80</v>
      </c>
      <c r="G1161" s="8">
        <v>640</v>
      </c>
      <c r="H1161" s="9" t="s">
        <v>130</v>
      </c>
      <c r="I1161" s="62">
        <v>250</v>
      </c>
      <c r="J1161" s="62"/>
      <c r="K1161" s="62">
        <f t="shared" si="193"/>
        <v>250</v>
      </c>
      <c r="L1161" s="62"/>
      <c r="M1161" s="62"/>
      <c r="N1161" s="62"/>
      <c r="O1161" s="62">
        <f t="shared" si="194"/>
        <v>0</v>
      </c>
      <c r="P1161" s="63"/>
      <c r="Q1161" s="64">
        <f t="shared" si="195"/>
        <v>250</v>
      </c>
      <c r="R1161" s="64">
        <f t="shared" si="196"/>
        <v>0</v>
      </c>
      <c r="S1161" s="64">
        <f t="shared" si="197"/>
        <v>250</v>
      </c>
    </row>
    <row r="1162" spans="2:19" x14ac:dyDescent="0.2">
      <c r="B1162" s="48">
        <f t="shared" si="192"/>
        <v>668</v>
      </c>
      <c r="C1162" s="9"/>
      <c r="D1162" s="9"/>
      <c r="E1162" s="9"/>
      <c r="F1162" s="61" t="s">
        <v>50</v>
      </c>
      <c r="G1162" s="8">
        <v>610</v>
      </c>
      <c r="H1162" s="9" t="s">
        <v>132</v>
      </c>
      <c r="I1162" s="62">
        <v>53258</v>
      </c>
      <c r="J1162" s="62"/>
      <c r="K1162" s="62">
        <f t="shared" si="193"/>
        <v>53258</v>
      </c>
      <c r="L1162" s="62"/>
      <c r="M1162" s="62"/>
      <c r="N1162" s="62"/>
      <c r="O1162" s="62">
        <f t="shared" si="194"/>
        <v>0</v>
      </c>
      <c r="P1162" s="63"/>
      <c r="Q1162" s="64">
        <f t="shared" si="195"/>
        <v>53258</v>
      </c>
      <c r="R1162" s="64">
        <f t="shared" si="196"/>
        <v>0</v>
      </c>
      <c r="S1162" s="64">
        <f t="shared" si="197"/>
        <v>53258</v>
      </c>
    </row>
    <row r="1163" spans="2:19" x14ac:dyDescent="0.2">
      <c r="B1163" s="48">
        <f t="shared" ref="B1163:B1228" si="198">B1162+1</f>
        <v>669</v>
      </c>
      <c r="C1163" s="9"/>
      <c r="D1163" s="9"/>
      <c r="E1163" s="9"/>
      <c r="F1163" s="61" t="s">
        <v>50</v>
      </c>
      <c r="G1163" s="8">
        <v>620</v>
      </c>
      <c r="H1163" s="9" t="s">
        <v>125</v>
      </c>
      <c r="I1163" s="62">
        <v>19634</v>
      </c>
      <c r="J1163" s="62"/>
      <c r="K1163" s="62">
        <f t="shared" si="193"/>
        <v>19634</v>
      </c>
      <c r="L1163" s="62"/>
      <c r="M1163" s="62"/>
      <c r="N1163" s="62"/>
      <c r="O1163" s="62">
        <f t="shared" si="194"/>
        <v>0</v>
      </c>
      <c r="P1163" s="63"/>
      <c r="Q1163" s="64">
        <f t="shared" si="195"/>
        <v>19634</v>
      </c>
      <c r="R1163" s="64">
        <f t="shared" si="196"/>
        <v>0</v>
      </c>
      <c r="S1163" s="64">
        <f t="shared" si="197"/>
        <v>19634</v>
      </c>
    </row>
    <row r="1164" spans="2:19" x14ac:dyDescent="0.2">
      <c r="B1164" s="48">
        <f t="shared" si="198"/>
        <v>670</v>
      </c>
      <c r="C1164" s="9"/>
      <c r="D1164" s="9"/>
      <c r="E1164" s="9"/>
      <c r="F1164" s="61" t="s">
        <v>50</v>
      </c>
      <c r="G1164" s="8">
        <v>630</v>
      </c>
      <c r="H1164" s="9" t="s">
        <v>122</v>
      </c>
      <c r="I1164" s="62">
        <f>SUM(I1165:I1168)</f>
        <v>139125</v>
      </c>
      <c r="J1164" s="62">
        <f>SUM(J1165:J1168)</f>
        <v>-3500</v>
      </c>
      <c r="K1164" s="62">
        <f t="shared" si="193"/>
        <v>135625</v>
      </c>
      <c r="L1164" s="62"/>
      <c r="M1164" s="62"/>
      <c r="N1164" s="62"/>
      <c r="O1164" s="62">
        <f t="shared" si="194"/>
        <v>0</v>
      </c>
      <c r="P1164" s="63"/>
      <c r="Q1164" s="64">
        <f t="shared" si="195"/>
        <v>139125</v>
      </c>
      <c r="R1164" s="64">
        <f t="shared" si="196"/>
        <v>-3500</v>
      </c>
      <c r="S1164" s="64">
        <f t="shared" si="197"/>
        <v>135625</v>
      </c>
    </row>
    <row r="1165" spans="2:19" x14ac:dyDescent="0.2">
      <c r="B1165" s="48">
        <f t="shared" si="198"/>
        <v>671</v>
      </c>
      <c r="C1165" s="11"/>
      <c r="D1165" s="11"/>
      <c r="E1165" s="11"/>
      <c r="F1165" s="65"/>
      <c r="G1165" s="10">
        <v>632</v>
      </c>
      <c r="H1165" s="11" t="s">
        <v>135</v>
      </c>
      <c r="I1165" s="66">
        <f>500+1800+1000+2105+6895</f>
        <v>12300</v>
      </c>
      <c r="J1165" s="66">
        <v>-3500</v>
      </c>
      <c r="K1165" s="66">
        <f t="shared" si="193"/>
        <v>8800</v>
      </c>
      <c r="L1165" s="66"/>
      <c r="M1165" s="66"/>
      <c r="N1165" s="66"/>
      <c r="O1165" s="66">
        <f t="shared" si="194"/>
        <v>0</v>
      </c>
      <c r="P1165" s="67"/>
      <c r="Q1165" s="68">
        <f t="shared" si="195"/>
        <v>12300</v>
      </c>
      <c r="R1165" s="68">
        <f t="shared" si="196"/>
        <v>-3500</v>
      </c>
      <c r="S1165" s="68">
        <f t="shared" si="197"/>
        <v>8800</v>
      </c>
    </row>
    <row r="1166" spans="2:19" x14ac:dyDescent="0.2">
      <c r="B1166" s="48">
        <f t="shared" si="198"/>
        <v>672</v>
      </c>
      <c r="C1166" s="11"/>
      <c r="D1166" s="11"/>
      <c r="E1166" s="11"/>
      <c r="F1166" s="65"/>
      <c r="G1166" s="10">
        <v>633</v>
      </c>
      <c r="H1166" s="11" t="s">
        <v>126</v>
      </c>
      <c r="I1166" s="66">
        <f>2000+500+1000+500+3500+500+35755+68970</f>
        <v>112725</v>
      </c>
      <c r="J1166" s="66"/>
      <c r="K1166" s="66">
        <f t="shared" si="193"/>
        <v>112725</v>
      </c>
      <c r="L1166" s="66"/>
      <c r="M1166" s="66"/>
      <c r="N1166" s="66"/>
      <c r="O1166" s="66">
        <f t="shared" si="194"/>
        <v>0</v>
      </c>
      <c r="P1166" s="67"/>
      <c r="Q1166" s="68">
        <f t="shared" si="195"/>
        <v>112725</v>
      </c>
      <c r="R1166" s="68">
        <f t="shared" si="196"/>
        <v>0</v>
      </c>
      <c r="S1166" s="68">
        <f t="shared" si="197"/>
        <v>112725</v>
      </c>
    </row>
    <row r="1167" spans="2:19" x14ac:dyDescent="0.2">
      <c r="B1167" s="48">
        <f t="shared" si="198"/>
        <v>673</v>
      </c>
      <c r="C1167" s="11"/>
      <c r="D1167" s="11"/>
      <c r="E1167" s="11"/>
      <c r="F1167" s="65"/>
      <c r="G1167" s="10">
        <v>635</v>
      </c>
      <c r="H1167" s="11" t="s">
        <v>134</v>
      </c>
      <c r="I1167" s="66">
        <v>7500</v>
      </c>
      <c r="J1167" s="66"/>
      <c r="K1167" s="66">
        <f t="shared" si="193"/>
        <v>7500</v>
      </c>
      <c r="L1167" s="66"/>
      <c r="M1167" s="66"/>
      <c r="N1167" s="66"/>
      <c r="O1167" s="66">
        <f t="shared" si="194"/>
        <v>0</v>
      </c>
      <c r="P1167" s="67"/>
      <c r="Q1167" s="68">
        <f t="shared" si="195"/>
        <v>7500</v>
      </c>
      <c r="R1167" s="68">
        <f t="shared" si="196"/>
        <v>0</v>
      </c>
      <c r="S1167" s="68">
        <f t="shared" si="197"/>
        <v>7500</v>
      </c>
    </row>
    <row r="1168" spans="2:19" x14ac:dyDescent="0.2">
      <c r="B1168" s="48">
        <f t="shared" si="198"/>
        <v>674</v>
      </c>
      <c r="C1168" s="11"/>
      <c r="D1168" s="11"/>
      <c r="E1168" s="11"/>
      <c r="F1168" s="65"/>
      <c r="G1168" s="10">
        <v>637</v>
      </c>
      <c r="H1168" s="11" t="s">
        <v>123</v>
      </c>
      <c r="I1168" s="66">
        <f>200+1650+550+400+3800</f>
        <v>6600</v>
      </c>
      <c r="J1168" s="66"/>
      <c r="K1168" s="66">
        <f t="shared" si="193"/>
        <v>6600</v>
      </c>
      <c r="L1168" s="66"/>
      <c r="M1168" s="66"/>
      <c r="N1168" s="66"/>
      <c r="O1168" s="66">
        <f t="shared" si="194"/>
        <v>0</v>
      </c>
      <c r="P1168" s="67"/>
      <c r="Q1168" s="68">
        <f t="shared" si="195"/>
        <v>6600</v>
      </c>
      <c r="R1168" s="68">
        <f t="shared" si="196"/>
        <v>0</v>
      </c>
      <c r="S1168" s="68">
        <f t="shared" si="197"/>
        <v>6600</v>
      </c>
    </row>
    <row r="1169" spans="2:19" x14ac:dyDescent="0.2">
      <c r="B1169" s="48">
        <f t="shared" si="198"/>
        <v>675</v>
      </c>
      <c r="C1169" s="9"/>
      <c r="D1169" s="9"/>
      <c r="E1169" s="9"/>
      <c r="F1169" s="61" t="s">
        <v>50</v>
      </c>
      <c r="G1169" s="8">
        <v>640</v>
      </c>
      <c r="H1169" s="9" t="s">
        <v>130</v>
      </c>
      <c r="I1169" s="62">
        <f>2910+250</f>
        <v>3160</v>
      </c>
      <c r="J1169" s="62"/>
      <c r="K1169" s="62">
        <f t="shared" si="193"/>
        <v>3160</v>
      </c>
      <c r="L1169" s="62"/>
      <c r="M1169" s="62"/>
      <c r="N1169" s="62"/>
      <c r="O1169" s="62">
        <f t="shared" si="194"/>
        <v>0</v>
      </c>
      <c r="P1169" s="63"/>
      <c r="Q1169" s="64">
        <f t="shared" si="195"/>
        <v>3160</v>
      </c>
      <c r="R1169" s="64">
        <f t="shared" si="196"/>
        <v>0</v>
      </c>
      <c r="S1169" s="64">
        <f t="shared" si="197"/>
        <v>3160</v>
      </c>
    </row>
    <row r="1170" spans="2:19" x14ac:dyDescent="0.2">
      <c r="B1170" s="48">
        <f t="shared" si="198"/>
        <v>676</v>
      </c>
      <c r="C1170" s="9"/>
      <c r="D1170" s="9"/>
      <c r="E1170" s="9"/>
      <c r="F1170" s="61" t="s">
        <v>50</v>
      </c>
      <c r="G1170" s="8">
        <v>710</v>
      </c>
      <c r="H1170" s="9" t="s">
        <v>176</v>
      </c>
      <c r="I1170" s="62"/>
      <c r="J1170" s="62"/>
      <c r="K1170" s="62">
        <f t="shared" si="193"/>
        <v>0</v>
      </c>
      <c r="L1170" s="62"/>
      <c r="M1170" s="62">
        <f>M1171</f>
        <v>0</v>
      </c>
      <c r="N1170" s="62">
        <f>N1171</f>
        <v>7000</v>
      </c>
      <c r="O1170" s="62">
        <f t="shared" si="194"/>
        <v>7000</v>
      </c>
      <c r="P1170" s="63"/>
      <c r="Q1170" s="68">
        <f t="shared" si="195"/>
        <v>0</v>
      </c>
      <c r="R1170" s="68">
        <f t="shared" si="196"/>
        <v>7000</v>
      </c>
      <c r="S1170" s="68">
        <f t="shared" si="197"/>
        <v>7000</v>
      </c>
    </row>
    <row r="1171" spans="2:19" x14ac:dyDescent="0.2">
      <c r="B1171" s="48">
        <f t="shared" si="198"/>
        <v>677</v>
      </c>
      <c r="C1171" s="9"/>
      <c r="D1171" s="9"/>
      <c r="E1171" s="9"/>
      <c r="F1171" s="61"/>
      <c r="G1171" s="10">
        <v>713</v>
      </c>
      <c r="H1171" s="11" t="s">
        <v>219</v>
      </c>
      <c r="I1171" s="62"/>
      <c r="J1171" s="62"/>
      <c r="K1171" s="62">
        <f t="shared" si="193"/>
        <v>0</v>
      </c>
      <c r="L1171" s="62"/>
      <c r="M1171" s="66">
        <f>M1172</f>
        <v>0</v>
      </c>
      <c r="N1171" s="66">
        <f>N1172</f>
        <v>7000</v>
      </c>
      <c r="O1171" s="66">
        <f t="shared" si="194"/>
        <v>7000</v>
      </c>
      <c r="P1171" s="63"/>
      <c r="Q1171" s="68">
        <f t="shared" si="195"/>
        <v>0</v>
      </c>
      <c r="R1171" s="68">
        <f t="shared" si="196"/>
        <v>7000</v>
      </c>
      <c r="S1171" s="68">
        <f t="shared" si="197"/>
        <v>7000</v>
      </c>
    </row>
    <row r="1172" spans="2:19" x14ac:dyDescent="0.2">
      <c r="B1172" s="48">
        <f t="shared" si="198"/>
        <v>678</v>
      </c>
      <c r="C1172" s="9"/>
      <c r="D1172" s="9"/>
      <c r="E1172" s="9"/>
      <c r="F1172" s="61"/>
      <c r="G1172" s="82"/>
      <c r="H1172" s="13" t="s">
        <v>598</v>
      </c>
      <c r="I1172" s="62"/>
      <c r="J1172" s="62"/>
      <c r="K1172" s="62">
        <f t="shared" si="193"/>
        <v>0</v>
      </c>
      <c r="L1172" s="62"/>
      <c r="M1172" s="83">
        <v>0</v>
      </c>
      <c r="N1172" s="83">
        <v>7000</v>
      </c>
      <c r="O1172" s="83">
        <f t="shared" si="194"/>
        <v>7000</v>
      </c>
      <c r="P1172" s="63"/>
      <c r="Q1172" s="85">
        <f t="shared" si="195"/>
        <v>0</v>
      </c>
      <c r="R1172" s="85">
        <f t="shared" si="196"/>
        <v>7000</v>
      </c>
      <c r="S1172" s="85">
        <f t="shared" si="197"/>
        <v>7000</v>
      </c>
    </row>
    <row r="1173" spans="2:19" ht="15" x14ac:dyDescent="0.25">
      <c r="B1173" s="48">
        <f>B1169+1</f>
        <v>676</v>
      </c>
      <c r="C1173" s="166"/>
      <c r="D1173" s="166"/>
      <c r="E1173" s="166">
        <v>11</v>
      </c>
      <c r="F1173" s="167"/>
      <c r="G1173" s="167"/>
      <c r="H1173" s="166" t="s">
        <v>7</v>
      </c>
      <c r="I1173" s="168">
        <f>I1174+I1175+I1176+I1181+I1182+I1183+I1184+I1189</f>
        <v>617860</v>
      </c>
      <c r="J1173" s="168">
        <f>J1174+J1175+J1176+J1181+J1182+J1183+J1184+J1189</f>
        <v>0</v>
      </c>
      <c r="K1173" s="168">
        <f t="shared" si="193"/>
        <v>617860</v>
      </c>
      <c r="L1173" s="58"/>
      <c r="M1173" s="168"/>
      <c r="N1173" s="168"/>
      <c r="O1173" s="168">
        <f t="shared" si="194"/>
        <v>0</v>
      </c>
      <c r="P1173" s="59"/>
      <c r="Q1173" s="169">
        <f t="shared" si="195"/>
        <v>617860</v>
      </c>
      <c r="R1173" s="169">
        <f t="shared" si="196"/>
        <v>0</v>
      </c>
      <c r="S1173" s="169">
        <f t="shared" si="197"/>
        <v>617860</v>
      </c>
    </row>
    <row r="1174" spans="2:19" x14ac:dyDescent="0.2">
      <c r="B1174" s="48">
        <f t="shared" si="198"/>
        <v>677</v>
      </c>
      <c r="C1174" s="9"/>
      <c r="D1174" s="9"/>
      <c r="E1174" s="9"/>
      <c r="F1174" s="61" t="s">
        <v>80</v>
      </c>
      <c r="G1174" s="8">
        <v>610</v>
      </c>
      <c r="H1174" s="9" t="s">
        <v>132</v>
      </c>
      <c r="I1174" s="62">
        <v>73100</v>
      </c>
      <c r="J1174" s="62"/>
      <c r="K1174" s="62">
        <f t="shared" si="193"/>
        <v>73100</v>
      </c>
      <c r="L1174" s="62"/>
      <c r="M1174" s="62"/>
      <c r="N1174" s="62"/>
      <c r="O1174" s="62">
        <f t="shared" si="194"/>
        <v>0</v>
      </c>
      <c r="P1174" s="63"/>
      <c r="Q1174" s="64">
        <f t="shared" si="195"/>
        <v>73100</v>
      </c>
      <c r="R1174" s="64">
        <f t="shared" si="196"/>
        <v>0</v>
      </c>
      <c r="S1174" s="64">
        <f t="shared" si="197"/>
        <v>73100</v>
      </c>
    </row>
    <row r="1175" spans="2:19" x14ac:dyDescent="0.2">
      <c r="B1175" s="48">
        <f t="shared" si="198"/>
        <v>678</v>
      </c>
      <c r="C1175" s="9"/>
      <c r="D1175" s="9"/>
      <c r="E1175" s="9"/>
      <c r="F1175" s="61" t="s">
        <v>80</v>
      </c>
      <c r="G1175" s="8">
        <v>620</v>
      </c>
      <c r="H1175" s="9" t="s">
        <v>125</v>
      </c>
      <c r="I1175" s="62">
        <v>27645</v>
      </c>
      <c r="J1175" s="62"/>
      <c r="K1175" s="62">
        <f t="shared" si="193"/>
        <v>27645</v>
      </c>
      <c r="L1175" s="62"/>
      <c r="M1175" s="62"/>
      <c r="N1175" s="62"/>
      <c r="O1175" s="62">
        <f t="shared" si="194"/>
        <v>0</v>
      </c>
      <c r="P1175" s="63"/>
      <c r="Q1175" s="64">
        <f t="shared" si="195"/>
        <v>27645</v>
      </c>
      <c r="R1175" s="64">
        <f t="shared" si="196"/>
        <v>0</v>
      </c>
      <c r="S1175" s="64">
        <f t="shared" si="197"/>
        <v>27645</v>
      </c>
    </row>
    <row r="1176" spans="2:19" x14ac:dyDescent="0.2">
      <c r="B1176" s="48">
        <f t="shared" si="198"/>
        <v>679</v>
      </c>
      <c r="C1176" s="9"/>
      <c r="D1176" s="9"/>
      <c r="E1176" s="9"/>
      <c r="F1176" s="61" t="s">
        <v>80</v>
      </c>
      <c r="G1176" s="8">
        <v>630</v>
      </c>
      <c r="H1176" s="9" t="s">
        <v>122</v>
      </c>
      <c r="I1176" s="62">
        <f>SUM(I1177:I1180)</f>
        <v>31880</v>
      </c>
      <c r="J1176" s="62">
        <f>SUM(J1177:J1180)</f>
        <v>0</v>
      </c>
      <c r="K1176" s="62">
        <f t="shared" si="193"/>
        <v>31880</v>
      </c>
      <c r="L1176" s="62"/>
      <c r="M1176" s="62"/>
      <c r="N1176" s="62"/>
      <c r="O1176" s="62">
        <f t="shared" si="194"/>
        <v>0</v>
      </c>
      <c r="P1176" s="63"/>
      <c r="Q1176" s="64">
        <f t="shared" si="195"/>
        <v>31880</v>
      </c>
      <c r="R1176" s="64">
        <f t="shared" si="196"/>
        <v>0</v>
      </c>
      <c r="S1176" s="64">
        <f t="shared" si="197"/>
        <v>31880</v>
      </c>
    </row>
    <row r="1177" spans="2:19" x14ac:dyDescent="0.2">
      <c r="B1177" s="48">
        <f t="shared" si="198"/>
        <v>680</v>
      </c>
      <c r="C1177" s="11"/>
      <c r="D1177" s="11"/>
      <c r="E1177" s="11"/>
      <c r="F1177" s="65"/>
      <c r="G1177" s="10">
        <v>632</v>
      </c>
      <c r="H1177" s="11" t="s">
        <v>135</v>
      </c>
      <c r="I1177" s="66">
        <f>170+1500+2000+8100+3500</f>
        <v>15270</v>
      </c>
      <c r="J1177" s="66"/>
      <c r="K1177" s="66">
        <f t="shared" si="193"/>
        <v>15270</v>
      </c>
      <c r="L1177" s="66"/>
      <c r="M1177" s="66"/>
      <c r="N1177" s="66"/>
      <c r="O1177" s="66">
        <f t="shared" si="194"/>
        <v>0</v>
      </c>
      <c r="P1177" s="67"/>
      <c r="Q1177" s="68">
        <f t="shared" si="195"/>
        <v>15270</v>
      </c>
      <c r="R1177" s="68">
        <f t="shared" si="196"/>
        <v>0</v>
      </c>
      <c r="S1177" s="68">
        <f t="shared" si="197"/>
        <v>15270</v>
      </c>
    </row>
    <row r="1178" spans="2:19" x14ac:dyDescent="0.2">
      <c r="B1178" s="48">
        <f t="shared" si="198"/>
        <v>681</v>
      </c>
      <c r="C1178" s="11"/>
      <c r="D1178" s="11"/>
      <c r="E1178" s="11"/>
      <c r="F1178" s="65"/>
      <c r="G1178" s="10">
        <v>633</v>
      </c>
      <c r="H1178" s="11" t="s">
        <v>126</v>
      </c>
      <c r="I1178" s="66">
        <f>200+800+500+920+300+1000+150+400+200+100+2500+200</f>
        <v>7270</v>
      </c>
      <c r="J1178" s="66"/>
      <c r="K1178" s="66">
        <f t="shared" si="193"/>
        <v>7270</v>
      </c>
      <c r="L1178" s="66"/>
      <c r="M1178" s="66"/>
      <c r="N1178" s="66"/>
      <c r="O1178" s="66">
        <f t="shared" si="194"/>
        <v>0</v>
      </c>
      <c r="P1178" s="67"/>
      <c r="Q1178" s="68">
        <f t="shared" si="195"/>
        <v>7270</v>
      </c>
      <c r="R1178" s="68">
        <f t="shared" si="196"/>
        <v>0</v>
      </c>
      <c r="S1178" s="68">
        <f t="shared" si="197"/>
        <v>7270</v>
      </c>
    </row>
    <row r="1179" spans="2:19" x14ac:dyDescent="0.2">
      <c r="B1179" s="48">
        <f t="shared" si="198"/>
        <v>682</v>
      </c>
      <c r="C1179" s="11"/>
      <c r="D1179" s="11"/>
      <c r="E1179" s="11"/>
      <c r="F1179" s="65"/>
      <c r="G1179" s="10">
        <v>635</v>
      </c>
      <c r="H1179" s="11" t="s">
        <v>134</v>
      </c>
      <c r="I1179" s="66">
        <f>1500+1300</f>
        <v>2800</v>
      </c>
      <c r="J1179" s="66"/>
      <c r="K1179" s="66">
        <f t="shared" si="193"/>
        <v>2800</v>
      </c>
      <c r="L1179" s="66"/>
      <c r="M1179" s="66"/>
      <c r="N1179" s="66"/>
      <c r="O1179" s="66">
        <f t="shared" si="194"/>
        <v>0</v>
      </c>
      <c r="P1179" s="67"/>
      <c r="Q1179" s="68">
        <f t="shared" si="195"/>
        <v>2800</v>
      </c>
      <c r="R1179" s="68">
        <f t="shared" si="196"/>
        <v>0</v>
      </c>
      <c r="S1179" s="68">
        <f t="shared" si="197"/>
        <v>2800</v>
      </c>
    </row>
    <row r="1180" spans="2:19" x14ac:dyDescent="0.2">
      <c r="B1180" s="48">
        <f t="shared" si="198"/>
        <v>683</v>
      </c>
      <c r="C1180" s="11"/>
      <c r="D1180" s="11"/>
      <c r="E1180" s="11"/>
      <c r="F1180" s="65"/>
      <c r="G1180" s="10">
        <v>637</v>
      </c>
      <c r="H1180" s="11" t="s">
        <v>123</v>
      </c>
      <c r="I1180" s="66">
        <f>100+300+100+910+200+1000+110+320+100+1000+2000+400</f>
        <v>6540</v>
      </c>
      <c r="J1180" s="66"/>
      <c r="K1180" s="66">
        <f t="shared" si="193"/>
        <v>6540</v>
      </c>
      <c r="L1180" s="66"/>
      <c r="M1180" s="66"/>
      <c r="N1180" s="66"/>
      <c r="O1180" s="66">
        <f t="shared" si="194"/>
        <v>0</v>
      </c>
      <c r="P1180" s="67"/>
      <c r="Q1180" s="68">
        <f t="shared" si="195"/>
        <v>6540</v>
      </c>
      <c r="R1180" s="68">
        <f t="shared" si="196"/>
        <v>0</v>
      </c>
      <c r="S1180" s="68">
        <f t="shared" si="197"/>
        <v>6540</v>
      </c>
    </row>
    <row r="1181" spans="2:19" x14ac:dyDescent="0.2">
      <c r="B1181" s="48">
        <f t="shared" si="198"/>
        <v>684</v>
      </c>
      <c r="C1181" s="9"/>
      <c r="D1181" s="9"/>
      <c r="E1181" s="9"/>
      <c r="F1181" s="61" t="s">
        <v>80</v>
      </c>
      <c r="G1181" s="8">
        <v>640</v>
      </c>
      <c r="H1181" s="9" t="s">
        <v>130</v>
      </c>
      <c r="I1181" s="62">
        <f>1000+600</f>
        <v>1600</v>
      </c>
      <c r="J1181" s="62"/>
      <c r="K1181" s="62">
        <f t="shared" si="193"/>
        <v>1600</v>
      </c>
      <c r="L1181" s="62"/>
      <c r="M1181" s="62"/>
      <c r="N1181" s="62"/>
      <c r="O1181" s="62">
        <f t="shared" si="194"/>
        <v>0</v>
      </c>
      <c r="P1181" s="63"/>
      <c r="Q1181" s="64">
        <f t="shared" si="195"/>
        <v>1600</v>
      </c>
      <c r="R1181" s="64">
        <f t="shared" si="196"/>
        <v>0</v>
      </c>
      <c r="S1181" s="64">
        <f t="shared" si="197"/>
        <v>1600</v>
      </c>
    </row>
    <row r="1182" spans="2:19" x14ac:dyDescent="0.2">
      <c r="B1182" s="48">
        <f t="shared" si="198"/>
        <v>685</v>
      </c>
      <c r="C1182" s="9"/>
      <c r="D1182" s="9"/>
      <c r="E1182" s="9"/>
      <c r="F1182" s="61" t="s">
        <v>50</v>
      </c>
      <c r="G1182" s="8">
        <v>610</v>
      </c>
      <c r="H1182" s="9" t="s">
        <v>132</v>
      </c>
      <c r="I1182" s="62">
        <v>99380</v>
      </c>
      <c r="J1182" s="62"/>
      <c r="K1182" s="62">
        <f t="shared" si="193"/>
        <v>99380</v>
      </c>
      <c r="L1182" s="62"/>
      <c r="M1182" s="62"/>
      <c r="N1182" s="62"/>
      <c r="O1182" s="62">
        <f t="shared" si="194"/>
        <v>0</v>
      </c>
      <c r="P1182" s="63"/>
      <c r="Q1182" s="64">
        <f t="shared" si="195"/>
        <v>99380</v>
      </c>
      <c r="R1182" s="64">
        <f t="shared" si="196"/>
        <v>0</v>
      </c>
      <c r="S1182" s="64">
        <f t="shared" si="197"/>
        <v>99380</v>
      </c>
    </row>
    <row r="1183" spans="2:19" x14ac:dyDescent="0.2">
      <c r="B1183" s="48">
        <f t="shared" si="198"/>
        <v>686</v>
      </c>
      <c r="C1183" s="9"/>
      <c r="D1183" s="9"/>
      <c r="E1183" s="9"/>
      <c r="F1183" s="61" t="s">
        <v>50</v>
      </c>
      <c r="G1183" s="8">
        <v>620</v>
      </c>
      <c r="H1183" s="9" t="s">
        <v>125</v>
      </c>
      <c r="I1183" s="62">
        <v>37805</v>
      </c>
      <c r="J1183" s="62"/>
      <c r="K1183" s="62">
        <f t="shared" si="193"/>
        <v>37805</v>
      </c>
      <c r="L1183" s="62"/>
      <c r="M1183" s="62"/>
      <c r="N1183" s="62"/>
      <c r="O1183" s="62">
        <f t="shared" si="194"/>
        <v>0</v>
      </c>
      <c r="P1183" s="63"/>
      <c r="Q1183" s="64">
        <f t="shared" si="195"/>
        <v>37805</v>
      </c>
      <c r="R1183" s="64">
        <f t="shared" si="196"/>
        <v>0</v>
      </c>
      <c r="S1183" s="64">
        <f t="shared" si="197"/>
        <v>37805</v>
      </c>
    </row>
    <row r="1184" spans="2:19" x14ac:dyDescent="0.2">
      <c r="B1184" s="48">
        <f t="shared" si="198"/>
        <v>687</v>
      </c>
      <c r="C1184" s="9"/>
      <c r="D1184" s="9"/>
      <c r="E1184" s="9"/>
      <c r="F1184" s="61" t="s">
        <v>50</v>
      </c>
      <c r="G1184" s="8">
        <v>630</v>
      </c>
      <c r="H1184" s="9" t="s">
        <v>122</v>
      </c>
      <c r="I1184" s="62">
        <f>SUM(I1185:I1188)</f>
        <v>339650</v>
      </c>
      <c r="J1184" s="62">
        <f>SUM(J1185:J1188)</f>
        <v>0</v>
      </c>
      <c r="K1184" s="62">
        <f t="shared" si="193"/>
        <v>339650</v>
      </c>
      <c r="L1184" s="62"/>
      <c r="M1184" s="62"/>
      <c r="N1184" s="62"/>
      <c r="O1184" s="62">
        <f t="shared" si="194"/>
        <v>0</v>
      </c>
      <c r="P1184" s="63"/>
      <c r="Q1184" s="64">
        <f t="shared" si="195"/>
        <v>339650</v>
      </c>
      <c r="R1184" s="64">
        <f t="shared" si="196"/>
        <v>0</v>
      </c>
      <c r="S1184" s="64">
        <f t="shared" si="197"/>
        <v>339650</v>
      </c>
    </row>
    <row r="1185" spans="2:19" x14ac:dyDescent="0.2">
      <c r="B1185" s="48">
        <f t="shared" si="198"/>
        <v>688</v>
      </c>
      <c r="C1185" s="11"/>
      <c r="D1185" s="11"/>
      <c r="E1185" s="11"/>
      <c r="F1185" s="65"/>
      <c r="G1185" s="10">
        <v>632</v>
      </c>
      <c r="H1185" s="11" t="s">
        <v>135</v>
      </c>
      <c r="I1185" s="66">
        <f>260+2500+2000+10500+5000</f>
        <v>20260</v>
      </c>
      <c r="J1185" s="66"/>
      <c r="K1185" s="66">
        <f t="shared" si="193"/>
        <v>20260</v>
      </c>
      <c r="L1185" s="66"/>
      <c r="M1185" s="66"/>
      <c r="N1185" s="66"/>
      <c r="O1185" s="66">
        <f t="shared" si="194"/>
        <v>0</v>
      </c>
      <c r="P1185" s="67"/>
      <c r="Q1185" s="68">
        <f t="shared" si="195"/>
        <v>20260</v>
      </c>
      <c r="R1185" s="68">
        <f t="shared" si="196"/>
        <v>0</v>
      </c>
      <c r="S1185" s="68">
        <f t="shared" si="197"/>
        <v>20260</v>
      </c>
    </row>
    <row r="1186" spans="2:19" x14ac:dyDescent="0.2">
      <c r="B1186" s="48">
        <f t="shared" si="198"/>
        <v>689</v>
      </c>
      <c r="C1186" s="11"/>
      <c r="D1186" s="11"/>
      <c r="E1186" s="11"/>
      <c r="F1186" s="65"/>
      <c r="G1186" s="10">
        <v>633</v>
      </c>
      <c r="H1186" s="11" t="s">
        <v>126</v>
      </c>
      <c r="I1186" s="66">
        <f>300+1200+40000+250000+1120+700+520+300+2000+1600+200+600+300+200+3500</f>
        <v>302540</v>
      </c>
      <c r="J1186" s="66"/>
      <c r="K1186" s="66">
        <f t="shared" si="193"/>
        <v>302540</v>
      </c>
      <c r="L1186" s="66"/>
      <c r="M1186" s="66"/>
      <c r="N1186" s="66"/>
      <c r="O1186" s="66">
        <f t="shared" si="194"/>
        <v>0</v>
      </c>
      <c r="P1186" s="67"/>
      <c r="Q1186" s="68">
        <f t="shared" si="195"/>
        <v>302540</v>
      </c>
      <c r="R1186" s="68">
        <f t="shared" si="196"/>
        <v>0</v>
      </c>
      <c r="S1186" s="68">
        <f t="shared" si="197"/>
        <v>302540</v>
      </c>
    </row>
    <row r="1187" spans="2:19" x14ac:dyDescent="0.2">
      <c r="B1187" s="48">
        <f t="shared" si="198"/>
        <v>690</v>
      </c>
      <c r="C1187" s="11"/>
      <c r="D1187" s="11"/>
      <c r="E1187" s="11"/>
      <c r="F1187" s="65"/>
      <c r="G1187" s="10">
        <v>635</v>
      </c>
      <c r="H1187" s="11" t="s">
        <v>134</v>
      </c>
      <c r="I1187" s="66">
        <f>2300+1800</f>
        <v>4100</v>
      </c>
      <c r="J1187" s="66"/>
      <c r="K1187" s="66">
        <f t="shared" si="193"/>
        <v>4100</v>
      </c>
      <c r="L1187" s="66"/>
      <c r="M1187" s="66"/>
      <c r="N1187" s="66"/>
      <c r="O1187" s="66">
        <f t="shared" si="194"/>
        <v>0</v>
      </c>
      <c r="P1187" s="67"/>
      <c r="Q1187" s="68">
        <f t="shared" si="195"/>
        <v>4100</v>
      </c>
      <c r="R1187" s="68">
        <f t="shared" si="196"/>
        <v>0</v>
      </c>
      <c r="S1187" s="68">
        <f t="shared" si="197"/>
        <v>4100</v>
      </c>
    </row>
    <row r="1188" spans="2:19" s="164" customFormat="1" x14ac:dyDescent="0.2">
      <c r="B1188" s="48">
        <f t="shared" si="198"/>
        <v>691</v>
      </c>
      <c r="C1188" s="11"/>
      <c r="D1188" s="11"/>
      <c r="E1188" s="11"/>
      <c r="F1188" s="65"/>
      <c r="G1188" s="10">
        <v>637</v>
      </c>
      <c r="H1188" s="11" t="s">
        <v>123</v>
      </c>
      <c r="I1188" s="66">
        <f>2500+250+500+200+1250+500+1500+400+800+250+1500+2500+600</f>
        <v>12750</v>
      </c>
      <c r="J1188" s="66"/>
      <c r="K1188" s="66">
        <f t="shared" si="193"/>
        <v>12750</v>
      </c>
      <c r="L1188" s="66"/>
      <c r="M1188" s="66"/>
      <c r="N1188" s="66"/>
      <c r="O1188" s="66">
        <f t="shared" si="194"/>
        <v>0</v>
      </c>
      <c r="P1188" s="67"/>
      <c r="Q1188" s="68">
        <f t="shared" si="195"/>
        <v>12750</v>
      </c>
      <c r="R1188" s="68">
        <f t="shared" si="196"/>
        <v>0</v>
      </c>
      <c r="S1188" s="68">
        <f t="shared" si="197"/>
        <v>12750</v>
      </c>
    </row>
    <row r="1189" spans="2:19" s="164" customFormat="1" x14ac:dyDescent="0.2">
      <c r="B1189" s="48">
        <f t="shared" si="198"/>
        <v>692</v>
      </c>
      <c r="C1189" s="9"/>
      <c r="D1189" s="9"/>
      <c r="E1189" s="9"/>
      <c r="F1189" s="61" t="s">
        <v>50</v>
      </c>
      <c r="G1189" s="8">
        <v>640</v>
      </c>
      <c r="H1189" s="9" t="s">
        <v>130</v>
      </c>
      <c r="I1189" s="62">
        <f>2000+600+4200</f>
        <v>6800</v>
      </c>
      <c r="J1189" s="62"/>
      <c r="K1189" s="62">
        <f t="shared" si="193"/>
        <v>6800</v>
      </c>
      <c r="L1189" s="62"/>
      <c r="M1189" s="62"/>
      <c r="N1189" s="62"/>
      <c r="O1189" s="62">
        <f t="shared" si="194"/>
        <v>0</v>
      </c>
      <c r="P1189" s="63"/>
      <c r="Q1189" s="64">
        <f t="shared" si="195"/>
        <v>6800</v>
      </c>
      <c r="R1189" s="64">
        <f t="shared" si="196"/>
        <v>0</v>
      </c>
      <c r="S1189" s="64">
        <f t="shared" si="197"/>
        <v>6800</v>
      </c>
    </row>
    <row r="1190" spans="2:19" ht="15" x14ac:dyDescent="0.25">
      <c r="B1190" s="48">
        <f t="shared" si="198"/>
        <v>693</v>
      </c>
      <c r="C1190" s="166"/>
      <c r="D1190" s="166"/>
      <c r="E1190" s="166">
        <v>12</v>
      </c>
      <c r="F1190" s="167"/>
      <c r="G1190" s="167"/>
      <c r="H1190" s="166" t="s">
        <v>5</v>
      </c>
      <c r="I1190" s="168">
        <f>I1191+I1192+I1193+I1198+I1199+I1200+I1201+I1207</f>
        <v>521744</v>
      </c>
      <c r="J1190" s="168">
        <f>J1191+J1192+J1193+J1198+J1199+J1200+J1201+J1207</f>
        <v>0</v>
      </c>
      <c r="K1190" s="168">
        <f t="shared" si="193"/>
        <v>521744</v>
      </c>
      <c r="L1190" s="58"/>
      <c r="M1190" s="168"/>
      <c r="N1190" s="168"/>
      <c r="O1190" s="168">
        <f t="shared" si="194"/>
        <v>0</v>
      </c>
      <c r="P1190" s="59"/>
      <c r="Q1190" s="169">
        <f t="shared" si="195"/>
        <v>521744</v>
      </c>
      <c r="R1190" s="169">
        <f t="shared" si="196"/>
        <v>0</v>
      </c>
      <c r="S1190" s="169">
        <f t="shared" si="197"/>
        <v>521744</v>
      </c>
    </row>
    <row r="1191" spans="2:19" s="164" customFormat="1" x14ac:dyDescent="0.2">
      <c r="B1191" s="48">
        <f t="shared" si="198"/>
        <v>694</v>
      </c>
      <c r="C1191" s="9"/>
      <c r="D1191" s="9"/>
      <c r="E1191" s="9"/>
      <c r="F1191" s="61" t="s">
        <v>80</v>
      </c>
      <c r="G1191" s="8">
        <v>610</v>
      </c>
      <c r="H1191" s="9" t="s">
        <v>132</v>
      </c>
      <c r="I1191" s="62">
        <v>66062</v>
      </c>
      <c r="J1191" s="62"/>
      <c r="K1191" s="62">
        <f t="shared" si="193"/>
        <v>66062</v>
      </c>
      <c r="L1191" s="62"/>
      <c r="M1191" s="62"/>
      <c r="N1191" s="62"/>
      <c r="O1191" s="62">
        <f t="shared" si="194"/>
        <v>0</v>
      </c>
      <c r="P1191" s="63"/>
      <c r="Q1191" s="64">
        <f t="shared" si="195"/>
        <v>66062</v>
      </c>
      <c r="R1191" s="64">
        <f t="shared" si="196"/>
        <v>0</v>
      </c>
      <c r="S1191" s="64">
        <f t="shared" si="197"/>
        <v>66062</v>
      </c>
    </row>
    <row r="1192" spans="2:19" s="164" customFormat="1" x14ac:dyDescent="0.2">
      <c r="B1192" s="48">
        <f t="shared" si="198"/>
        <v>695</v>
      </c>
      <c r="C1192" s="9"/>
      <c r="D1192" s="9"/>
      <c r="E1192" s="9"/>
      <c r="F1192" s="61" t="s">
        <v>80</v>
      </c>
      <c r="G1192" s="8">
        <v>620</v>
      </c>
      <c r="H1192" s="9" t="s">
        <v>125</v>
      </c>
      <c r="I1192" s="62">
        <v>23245</v>
      </c>
      <c r="J1192" s="62"/>
      <c r="K1192" s="62">
        <f t="shared" si="193"/>
        <v>23245</v>
      </c>
      <c r="L1192" s="62"/>
      <c r="M1192" s="62"/>
      <c r="N1192" s="62"/>
      <c r="O1192" s="62">
        <f t="shared" si="194"/>
        <v>0</v>
      </c>
      <c r="P1192" s="63"/>
      <c r="Q1192" s="64">
        <f t="shared" si="195"/>
        <v>23245</v>
      </c>
      <c r="R1192" s="64">
        <f t="shared" si="196"/>
        <v>0</v>
      </c>
      <c r="S1192" s="64">
        <f t="shared" si="197"/>
        <v>23245</v>
      </c>
    </row>
    <row r="1193" spans="2:19" s="164" customFormat="1" x14ac:dyDescent="0.2">
      <c r="B1193" s="48">
        <f t="shared" si="198"/>
        <v>696</v>
      </c>
      <c r="C1193" s="9"/>
      <c r="D1193" s="9"/>
      <c r="E1193" s="9"/>
      <c r="F1193" s="61" t="s">
        <v>80</v>
      </c>
      <c r="G1193" s="8">
        <v>630</v>
      </c>
      <c r="H1193" s="9" t="s">
        <v>122</v>
      </c>
      <c r="I1193" s="62">
        <f>I1197+I1196+I1195+I1194</f>
        <v>198105</v>
      </c>
      <c r="J1193" s="62">
        <f>J1197+J1196+J1195+J1194</f>
        <v>0</v>
      </c>
      <c r="K1193" s="62">
        <f t="shared" si="193"/>
        <v>198105</v>
      </c>
      <c r="L1193" s="62"/>
      <c r="M1193" s="62"/>
      <c r="N1193" s="62"/>
      <c r="O1193" s="62">
        <f t="shared" si="194"/>
        <v>0</v>
      </c>
      <c r="P1193" s="63"/>
      <c r="Q1193" s="64">
        <f t="shared" si="195"/>
        <v>198105</v>
      </c>
      <c r="R1193" s="64">
        <f t="shared" si="196"/>
        <v>0</v>
      </c>
      <c r="S1193" s="64">
        <f t="shared" si="197"/>
        <v>198105</v>
      </c>
    </row>
    <row r="1194" spans="2:19" x14ac:dyDescent="0.2">
      <c r="B1194" s="48">
        <f t="shared" si="198"/>
        <v>697</v>
      </c>
      <c r="C1194" s="11"/>
      <c r="D1194" s="11"/>
      <c r="E1194" s="11"/>
      <c r="F1194" s="65"/>
      <c r="G1194" s="10">
        <v>632</v>
      </c>
      <c r="H1194" s="11" t="s">
        <v>135</v>
      </c>
      <c r="I1194" s="66">
        <f>7800+7360+3200+600</f>
        <v>18960</v>
      </c>
      <c r="J1194" s="66"/>
      <c r="K1194" s="66">
        <f t="shared" si="193"/>
        <v>18960</v>
      </c>
      <c r="L1194" s="66"/>
      <c r="M1194" s="66"/>
      <c r="N1194" s="66"/>
      <c r="O1194" s="66">
        <f t="shared" si="194"/>
        <v>0</v>
      </c>
      <c r="P1194" s="67"/>
      <c r="Q1194" s="68">
        <f t="shared" si="195"/>
        <v>18960</v>
      </c>
      <c r="R1194" s="68">
        <f t="shared" si="196"/>
        <v>0</v>
      </c>
      <c r="S1194" s="68">
        <f t="shared" si="197"/>
        <v>18960</v>
      </c>
    </row>
    <row r="1195" spans="2:19" x14ac:dyDescent="0.2">
      <c r="B1195" s="48">
        <f t="shared" si="198"/>
        <v>698</v>
      </c>
      <c r="C1195" s="11"/>
      <c r="D1195" s="11"/>
      <c r="E1195" s="11"/>
      <c r="F1195" s="65"/>
      <c r="G1195" s="10">
        <v>633</v>
      </c>
      <c r="H1195" s="11" t="s">
        <v>126</v>
      </c>
      <c r="I1195" s="66">
        <v>141700</v>
      </c>
      <c r="J1195" s="66"/>
      <c r="K1195" s="66">
        <f t="shared" si="193"/>
        <v>141700</v>
      </c>
      <c r="L1195" s="66"/>
      <c r="M1195" s="66"/>
      <c r="N1195" s="66"/>
      <c r="O1195" s="66">
        <f t="shared" si="194"/>
        <v>0</v>
      </c>
      <c r="P1195" s="67"/>
      <c r="Q1195" s="68">
        <f t="shared" si="195"/>
        <v>141700</v>
      </c>
      <c r="R1195" s="68">
        <f t="shared" si="196"/>
        <v>0</v>
      </c>
      <c r="S1195" s="68">
        <f t="shared" si="197"/>
        <v>141700</v>
      </c>
    </row>
    <row r="1196" spans="2:19" x14ac:dyDescent="0.2">
      <c r="B1196" s="48">
        <f t="shared" si="198"/>
        <v>699</v>
      </c>
      <c r="C1196" s="11"/>
      <c r="D1196" s="11"/>
      <c r="E1196" s="11"/>
      <c r="F1196" s="65"/>
      <c r="G1196" s="10">
        <v>635</v>
      </c>
      <c r="H1196" s="11" t="s">
        <v>134</v>
      </c>
      <c r="I1196" s="66">
        <f>2000+1000</f>
        <v>3000</v>
      </c>
      <c r="J1196" s="66"/>
      <c r="K1196" s="66">
        <f t="shared" si="193"/>
        <v>3000</v>
      </c>
      <c r="L1196" s="66"/>
      <c r="M1196" s="66"/>
      <c r="N1196" s="66"/>
      <c r="O1196" s="66">
        <f t="shared" si="194"/>
        <v>0</v>
      </c>
      <c r="P1196" s="67"/>
      <c r="Q1196" s="68">
        <f t="shared" si="195"/>
        <v>3000</v>
      </c>
      <c r="R1196" s="68">
        <f t="shared" si="196"/>
        <v>0</v>
      </c>
      <c r="S1196" s="68">
        <f t="shared" si="197"/>
        <v>3000</v>
      </c>
    </row>
    <row r="1197" spans="2:19" x14ac:dyDescent="0.2">
      <c r="B1197" s="48">
        <f t="shared" si="198"/>
        <v>700</v>
      </c>
      <c r="C1197" s="11"/>
      <c r="D1197" s="11"/>
      <c r="E1197" s="11"/>
      <c r="F1197" s="65"/>
      <c r="G1197" s="10">
        <v>637</v>
      </c>
      <c r="H1197" s="11" t="s">
        <v>123</v>
      </c>
      <c r="I1197" s="66">
        <f>50+1400+55+30000+1100+960+880</f>
        <v>34445</v>
      </c>
      <c r="J1197" s="66"/>
      <c r="K1197" s="66">
        <f t="shared" si="193"/>
        <v>34445</v>
      </c>
      <c r="L1197" s="66"/>
      <c r="M1197" s="66"/>
      <c r="N1197" s="66"/>
      <c r="O1197" s="66">
        <f t="shared" si="194"/>
        <v>0</v>
      </c>
      <c r="P1197" s="67"/>
      <c r="Q1197" s="68">
        <f t="shared" si="195"/>
        <v>34445</v>
      </c>
      <c r="R1197" s="68">
        <f t="shared" si="196"/>
        <v>0</v>
      </c>
      <c r="S1197" s="68">
        <f t="shared" si="197"/>
        <v>34445</v>
      </c>
    </row>
    <row r="1198" spans="2:19" x14ac:dyDescent="0.2">
      <c r="B1198" s="48">
        <f t="shared" si="198"/>
        <v>701</v>
      </c>
      <c r="C1198" s="9"/>
      <c r="D1198" s="9"/>
      <c r="E1198" s="9"/>
      <c r="F1198" s="61" t="s">
        <v>80</v>
      </c>
      <c r="G1198" s="8">
        <v>640</v>
      </c>
      <c r="H1198" s="9" t="s">
        <v>130</v>
      </c>
      <c r="I1198" s="62">
        <v>1440</v>
      </c>
      <c r="J1198" s="62"/>
      <c r="K1198" s="62">
        <f t="shared" si="193"/>
        <v>1440</v>
      </c>
      <c r="L1198" s="62"/>
      <c r="M1198" s="62"/>
      <c r="N1198" s="62"/>
      <c r="O1198" s="62">
        <f t="shared" si="194"/>
        <v>0</v>
      </c>
      <c r="P1198" s="63"/>
      <c r="Q1198" s="64">
        <f t="shared" si="195"/>
        <v>1440</v>
      </c>
      <c r="R1198" s="64">
        <f t="shared" si="196"/>
        <v>0</v>
      </c>
      <c r="S1198" s="64">
        <f t="shared" si="197"/>
        <v>1440</v>
      </c>
    </row>
    <row r="1199" spans="2:19" x14ac:dyDescent="0.2">
      <c r="B1199" s="48">
        <f t="shared" si="198"/>
        <v>702</v>
      </c>
      <c r="C1199" s="9"/>
      <c r="D1199" s="9"/>
      <c r="E1199" s="9"/>
      <c r="F1199" s="61" t="s">
        <v>50</v>
      </c>
      <c r="G1199" s="8">
        <v>610</v>
      </c>
      <c r="H1199" s="9" t="s">
        <v>132</v>
      </c>
      <c r="I1199" s="62">
        <v>66062</v>
      </c>
      <c r="J1199" s="62"/>
      <c r="K1199" s="62">
        <f t="shared" si="193"/>
        <v>66062</v>
      </c>
      <c r="L1199" s="62"/>
      <c r="M1199" s="62"/>
      <c r="N1199" s="62"/>
      <c r="O1199" s="62">
        <f t="shared" si="194"/>
        <v>0</v>
      </c>
      <c r="P1199" s="63"/>
      <c r="Q1199" s="64">
        <f t="shared" si="195"/>
        <v>66062</v>
      </c>
      <c r="R1199" s="64">
        <f t="shared" si="196"/>
        <v>0</v>
      </c>
      <c r="S1199" s="64">
        <f t="shared" si="197"/>
        <v>66062</v>
      </c>
    </row>
    <row r="1200" spans="2:19" x14ac:dyDescent="0.2">
      <c r="B1200" s="48">
        <f t="shared" si="198"/>
        <v>703</v>
      </c>
      <c r="C1200" s="9"/>
      <c r="D1200" s="9"/>
      <c r="E1200" s="9"/>
      <c r="F1200" s="61" t="s">
        <v>50</v>
      </c>
      <c r="G1200" s="8">
        <v>620</v>
      </c>
      <c r="H1200" s="9" t="s">
        <v>125</v>
      </c>
      <c r="I1200" s="62">
        <v>23565</v>
      </c>
      <c r="J1200" s="62"/>
      <c r="K1200" s="62">
        <f t="shared" si="193"/>
        <v>23565</v>
      </c>
      <c r="L1200" s="62"/>
      <c r="M1200" s="62"/>
      <c r="N1200" s="62"/>
      <c r="O1200" s="62">
        <f t="shared" si="194"/>
        <v>0</v>
      </c>
      <c r="P1200" s="63"/>
      <c r="Q1200" s="64">
        <f t="shared" si="195"/>
        <v>23565</v>
      </c>
      <c r="R1200" s="64">
        <f t="shared" si="196"/>
        <v>0</v>
      </c>
      <c r="S1200" s="64">
        <f t="shared" si="197"/>
        <v>23565</v>
      </c>
    </row>
    <row r="1201" spans="2:19" x14ac:dyDescent="0.2">
      <c r="B1201" s="48">
        <f t="shared" si="198"/>
        <v>704</v>
      </c>
      <c r="C1201" s="9"/>
      <c r="D1201" s="9"/>
      <c r="E1201" s="9"/>
      <c r="F1201" s="61" t="s">
        <v>50</v>
      </c>
      <c r="G1201" s="8">
        <v>630</v>
      </c>
      <c r="H1201" s="9" t="s">
        <v>122</v>
      </c>
      <c r="I1201" s="62">
        <f>I1206+I1205+I1204+I1203+I1202</f>
        <v>138825</v>
      </c>
      <c r="J1201" s="62">
        <f>J1206+J1205+J1204+J1203+J1202</f>
        <v>0</v>
      </c>
      <c r="K1201" s="62">
        <f t="shared" si="193"/>
        <v>138825</v>
      </c>
      <c r="L1201" s="62"/>
      <c r="M1201" s="62"/>
      <c r="N1201" s="62"/>
      <c r="O1201" s="62">
        <f t="shared" si="194"/>
        <v>0</v>
      </c>
      <c r="P1201" s="63"/>
      <c r="Q1201" s="64">
        <f t="shared" ref="Q1201:Q1257" si="199">I1201+M1201</f>
        <v>138825</v>
      </c>
      <c r="R1201" s="64">
        <f t="shared" ref="R1201:R1257" si="200">J1201+N1201</f>
        <v>0</v>
      </c>
      <c r="S1201" s="64">
        <f t="shared" ref="S1201:S1257" si="201">K1201+O1201</f>
        <v>138825</v>
      </c>
    </row>
    <row r="1202" spans="2:19" x14ac:dyDescent="0.2">
      <c r="B1202" s="48">
        <f t="shared" si="198"/>
        <v>705</v>
      </c>
      <c r="C1202" s="11"/>
      <c r="D1202" s="11"/>
      <c r="E1202" s="11"/>
      <c r="F1202" s="65"/>
      <c r="G1202" s="10">
        <v>631</v>
      </c>
      <c r="H1202" s="11" t="s">
        <v>128</v>
      </c>
      <c r="I1202" s="66">
        <v>55</v>
      </c>
      <c r="J1202" s="66"/>
      <c r="K1202" s="66">
        <f t="shared" si="193"/>
        <v>55</v>
      </c>
      <c r="L1202" s="66"/>
      <c r="M1202" s="66"/>
      <c r="N1202" s="66"/>
      <c r="O1202" s="66">
        <f t="shared" si="194"/>
        <v>0</v>
      </c>
      <c r="P1202" s="67"/>
      <c r="Q1202" s="68">
        <f t="shared" si="199"/>
        <v>55</v>
      </c>
      <c r="R1202" s="68">
        <f t="shared" si="200"/>
        <v>0</v>
      </c>
      <c r="S1202" s="68">
        <f t="shared" si="201"/>
        <v>55</v>
      </c>
    </row>
    <row r="1203" spans="2:19" x14ac:dyDescent="0.2">
      <c r="B1203" s="48">
        <f t="shared" si="198"/>
        <v>706</v>
      </c>
      <c r="C1203" s="11"/>
      <c r="D1203" s="11"/>
      <c r="E1203" s="11"/>
      <c r="F1203" s="65"/>
      <c r="G1203" s="10">
        <v>632</v>
      </c>
      <c r="H1203" s="11" t="s">
        <v>135</v>
      </c>
      <c r="I1203" s="66">
        <f>7800+7360+3200+600</f>
        <v>18960</v>
      </c>
      <c r="J1203" s="66"/>
      <c r="K1203" s="66">
        <f t="shared" si="193"/>
        <v>18960</v>
      </c>
      <c r="L1203" s="66"/>
      <c r="M1203" s="66"/>
      <c r="N1203" s="66"/>
      <c r="O1203" s="66">
        <f t="shared" si="194"/>
        <v>0</v>
      </c>
      <c r="P1203" s="67"/>
      <c r="Q1203" s="68">
        <f t="shared" si="199"/>
        <v>18960</v>
      </c>
      <c r="R1203" s="68">
        <f t="shared" si="200"/>
        <v>0</v>
      </c>
      <c r="S1203" s="68">
        <f t="shared" si="201"/>
        <v>18960</v>
      </c>
    </row>
    <row r="1204" spans="2:19" x14ac:dyDescent="0.2">
      <c r="B1204" s="48">
        <f t="shared" si="198"/>
        <v>707</v>
      </c>
      <c r="C1204" s="11"/>
      <c r="D1204" s="11"/>
      <c r="E1204" s="11"/>
      <c r="F1204" s="65"/>
      <c r="G1204" s="10">
        <v>633</v>
      </c>
      <c r="H1204" s="11" t="s">
        <v>126</v>
      </c>
      <c r="I1204" s="66">
        <v>109050</v>
      </c>
      <c r="J1204" s="66"/>
      <c r="K1204" s="66">
        <f t="shared" ref="K1204:K1257" si="202">I1204+J1204</f>
        <v>109050</v>
      </c>
      <c r="L1204" s="66"/>
      <c r="M1204" s="66"/>
      <c r="N1204" s="66"/>
      <c r="O1204" s="66">
        <f t="shared" ref="O1204:O1257" si="203">M1204+N1204</f>
        <v>0</v>
      </c>
      <c r="P1204" s="67"/>
      <c r="Q1204" s="68">
        <f t="shared" si="199"/>
        <v>109050</v>
      </c>
      <c r="R1204" s="68">
        <f t="shared" si="200"/>
        <v>0</v>
      </c>
      <c r="S1204" s="68">
        <f t="shared" si="201"/>
        <v>109050</v>
      </c>
    </row>
    <row r="1205" spans="2:19" x14ac:dyDescent="0.2">
      <c r="B1205" s="48">
        <f t="shared" si="198"/>
        <v>708</v>
      </c>
      <c r="C1205" s="11"/>
      <c r="D1205" s="11"/>
      <c r="E1205" s="11"/>
      <c r="F1205" s="65"/>
      <c r="G1205" s="10">
        <v>635</v>
      </c>
      <c r="H1205" s="11" t="s">
        <v>134</v>
      </c>
      <c r="I1205" s="66">
        <f>3000+3150</f>
        <v>6150</v>
      </c>
      <c r="J1205" s="66"/>
      <c r="K1205" s="66">
        <f t="shared" si="202"/>
        <v>6150</v>
      </c>
      <c r="L1205" s="66"/>
      <c r="M1205" s="66"/>
      <c r="N1205" s="66"/>
      <c r="O1205" s="66">
        <f t="shared" si="203"/>
        <v>0</v>
      </c>
      <c r="P1205" s="67"/>
      <c r="Q1205" s="68">
        <f t="shared" si="199"/>
        <v>6150</v>
      </c>
      <c r="R1205" s="68">
        <f t="shared" si="200"/>
        <v>0</v>
      </c>
      <c r="S1205" s="68">
        <f t="shared" si="201"/>
        <v>6150</v>
      </c>
    </row>
    <row r="1206" spans="2:19" x14ac:dyDescent="0.2">
      <c r="B1206" s="48">
        <f t="shared" si="198"/>
        <v>709</v>
      </c>
      <c r="C1206" s="11"/>
      <c r="D1206" s="11"/>
      <c r="E1206" s="11"/>
      <c r="F1206" s="65"/>
      <c r="G1206" s="10">
        <v>637</v>
      </c>
      <c r="H1206" s="11" t="s">
        <v>123</v>
      </c>
      <c r="I1206" s="66">
        <f>50+1400+1200+960+1000</f>
        <v>4610</v>
      </c>
      <c r="J1206" s="66"/>
      <c r="K1206" s="66">
        <f t="shared" si="202"/>
        <v>4610</v>
      </c>
      <c r="L1206" s="66"/>
      <c r="M1206" s="66"/>
      <c r="N1206" s="66"/>
      <c r="O1206" s="66">
        <f t="shared" si="203"/>
        <v>0</v>
      </c>
      <c r="P1206" s="67"/>
      <c r="Q1206" s="68">
        <f t="shared" si="199"/>
        <v>4610</v>
      </c>
      <c r="R1206" s="68">
        <f t="shared" si="200"/>
        <v>0</v>
      </c>
      <c r="S1206" s="68">
        <f t="shared" si="201"/>
        <v>4610</v>
      </c>
    </row>
    <row r="1207" spans="2:19" x14ac:dyDescent="0.2">
      <c r="B1207" s="48">
        <f t="shared" si="198"/>
        <v>710</v>
      </c>
      <c r="C1207" s="9"/>
      <c r="D1207" s="9"/>
      <c r="E1207" s="9"/>
      <c r="F1207" s="61" t="s">
        <v>50</v>
      </c>
      <c r="G1207" s="8">
        <v>640</v>
      </c>
      <c r="H1207" s="9" t="s">
        <v>130</v>
      </c>
      <c r="I1207" s="62">
        <f>3000+1440</f>
        <v>4440</v>
      </c>
      <c r="J1207" s="62"/>
      <c r="K1207" s="62">
        <f t="shared" si="202"/>
        <v>4440</v>
      </c>
      <c r="L1207" s="62"/>
      <c r="M1207" s="62"/>
      <c r="N1207" s="62"/>
      <c r="O1207" s="62">
        <f t="shared" si="203"/>
        <v>0</v>
      </c>
      <c r="P1207" s="63"/>
      <c r="Q1207" s="64">
        <f t="shared" si="199"/>
        <v>4440</v>
      </c>
      <c r="R1207" s="64">
        <f t="shared" si="200"/>
        <v>0</v>
      </c>
      <c r="S1207" s="64">
        <f t="shared" si="201"/>
        <v>4440</v>
      </c>
    </row>
    <row r="1208" spans="2:19" ht="15" x14ac:dyDescent="0.25">
      <c r="B1208" s="48">
        <f t="shared" si="198"/>
        <v>711</v>
      </c>
      <c r="C1208" s="166"/>
      <c r="D1208" s="166"/>
      <c r="E1208" s="166">
        <v>13</v>
      </c>
      <c r="F1208" s="167"/>
      <c r="G1208" s="167"/>
      <c r="H1208" s="166" t="s">
        <v>12</v>
      </c>
      <c r="I1208" s="168">
        <f>I1209+I1211+I1212+I1213+I1218+I1219+I1220+I1221+I1226</f>
        <v>298852</v>
      </c>
      <c r="J1208" s="168">
        <f>J1209+J1211+J1212+J1213+J1218+J1219+J1220+J1221+J1226</f>
        <v>0</v>
      </c>
      <c r="K1208" s="168">
        <f t="shared" si="202"/>
        <v>298852</v>
      </c>
      <c r="L1208" s="58"/>
      <c r="M1208" s="168"/>
      <c r="N1208" s="168"/>
      <c r="O1208" s="168">
        <f t="shared" si="203"/>
        <v>0</v>
      </c>
      <c r="P1208" s="59"/>
      <c r="Q1208" s="169">
        <f t="shared" si="199"/>
        <v>298852</v>
      </c>
      <c r="R1208" s="169">
        <f t="shared" si="200"/>
        <v>0</v>
      </c>
      <c r="S1208" s="169">
        <f t="shared" si="201"/>
        <v>298852</v>
      </c>
    </row>
    <row r="1209" spans="2:19" x14ac:dyDescent="0.2">
      <c r="B1209" s="48">
        <f t="shared" si="198"/>
        <v>712</v>
      </c>
      <c r="C1209" s="9"/>
      <c r="D1209" s="9"/>
      <c r="E1209" s="9"/>
      <c r="F1209" s="61" t="s">
        <v>161</v>
      </c>
      <c r="G1209" s="8">
        <v>630</v>
      </c>
      <c r="H1209" s="9" t="s">
        <v>122</v>
      </c>
      <c r="I1209" s="62">
        <f>I1210</f>
        <v>27390</v>
      </c>
      <c r="J1209" s="62">
        <f>J1210</f>
        <v>0</v>
      </c>
      <c r="K1209" s="62">
        <f t="shared" si="202"/>
        <v>27390</v>
      </c>
      <c r="L1209" s="62"/>
      <c r="M1209" s="62"/>
      <c r="N1209" s="62"/>
      <c r="O1209" s="62">
        <f t="shared" si="203"/>
        <v>0</v>
      </c>
      <c r="P1209" s="63"/>
      <c r="Q1209" s="64">
        <f t="shared" si="199"/>
        <v>27390</v>
      </c>
      <c r="R1209" s="64">
        <f t="shared" si="200"/>
        <v>0</v>
      </c>
      <c r="S1209" s="64">
        <f t="shared" si="201"/>
        <v>27390</v>
      </c>
    </row>
    <row r="1210" spans="2:19" x14ac:dyDescent="0.2">
      <c r="B1210" s="48">
        <f t="shared" si="198"/>
        <v>713</v>
      </c>
      <c r="C1210" s="11"/>
      <c r="D1210" s="11"/>
      <c r="E1210" s="11"/>
      <c r="F1210" s="65"/>
      <c r="G1210" s="10">
        <v>633</v>
      </c>
      <c r="H1210" s="11" t="s">
        <v>126</v>
      </c>
      <c r="I1210" s="66">
        <v>27390</v>
      </c>
      <c r="J1210" s="66"/>
      <c r="K1210" s="66">
        <f t="shared" si="202"/>
        <v>27390</v>
      </c>
      <c r="L1210" s="66"/>
      <c r="M1210" s="66"/>
      <c r="N1210" s="66"/>
      <c r="O1210" s="66">
        <f t="shared" si="203"/>
        <v>0</v>
      </c>
      <c r="P1210" s="67"/>
      <c r="Q1210" s="68">
        <f t="shared" si="199"/>
        <v>27390</v>
      </c>
      <c r="R1210" s="68">
        <f t="shared" si="200"/>
        <v>0</v>
      </c>
      <c r="S1210" s="68">
        <f t="shared" si="201"/>
        <v>27390</v>
      </c>
    </row>
    <row r="1211" spans="2:19" x14ac:dyDescent="0.2">
      <c r="B1211" s="48">
        <f t="shared" si="198"/>
        <v>714</v>
      </c>
      <c r="C1211" s="9"/>
      <c r="D1211" s="9"/>
      <c r="E1211" s="9"/>
      <c r="F1211" s="61" t="s">
        <v>80</v>
      </c>
      <c r="G1211" s="8">
        <v>610</v>
      </c>
      <c r="H1211" s="9" t="s">
        <v>132</v>
      </c>
      <c r="I1211" s="62">
        <v>40600</v>
      </c>
      <c r="J1211" s="62"/>
      <c r="K1211" s="62">
        <f t="shared" si="202"/>
        <v>40600</v>
      </c>
      <c r="L1211" s="62"/>
      <c r="M1211" s="62"/>
      <c r="N1211" s="62"/>
      <c r="O1211" s="62">
        <f t="shared" si="203"/>
        <v>0</v>
      </c>
      <c r="P1211" s="63"/>
      <c r="Q1211" s="64">
        <f t="shared" si="199"/>
        <v>40600</v>
      </c>
      <c r="R1211" s="64">
        <f t="shared" si="200"/>
        <v>0</v>
      </c>
      <c r="S1211" s="64">
        <f t="shared" si="201"/>
        <v>40600</v>
      </c>
    </row>
    <row r="1212" spans="2:19" x14ac:dyDescent="0.2">
      <c r="B1212" s="48">
        <f t="shared" si="198"/>
        <v>715</v>
      </c>
      <c r="C1212" s="9"/>
      <c r="D1212" s="9"/>
      <c r="E1212" s="9"/>
      <c r="F1212" s="61" t="s">
        <v>80</v>
      </c>
      <c r="G1212" s="8">
        <v>620</v>
      </c>
      <c r="H1212" s="9" t="s">
        <v>125</v>
      </c>
      <c r="I1212" s="62">
        <v>14890</v>
      </c>
      <c r="J1212" s="62"/>
      <c r="K1212" s="62">
        <f t="shared" si="202"/>
        <v>14890</v>
      </c>
      <c r="L1212" s="62"/>
      <c r="M1212" s="62"/>
      <c r="N1212" s="62"/>
      <c r="O1212" s="62">
        <f t="shared" si="203"/>
        <v>0</v>
      </c>
      <c r="P1212" s="63"/>
      <c r="Q1212" s="64">
        <f t="shared" si="199"/>
        <v>14890</v>
      </c>
      <c r="R1212" s="64">
        <f t="shared" si="200"/>
        <v>0</v>
      </c>
      <c r="S1212" s="64">
        <f t="shared" si="201"/>
        <v>14890</v>
      </c>
    </row>
    <row r="1213" spans="2:19" x14ac:dyDescent="0.2">
      <c r="B1213" s="48">
        <f t="shared" si="198"/>
        <v>716</v>
      </c>
      <c r="C1213" s="9"/>
      <c r="D1213" s="9"/>
      <c r="E1213" s="9"/>
      <c r="F1213" s="61" t="s">
        <v>80</v>
      </c>
      <c r="G1213" s="8">
        <v>630</v>
      </c>
      <c r="H1213" s="9" t="s">
        <v>122</v>
      </c>
      <c r="I1213" s="62">
        <f>I1217+I1216+I1215+I1214</f>
        <v>70392</v>
      </c>
      <c r="J1213" s="62">
        <f>J1217+J1216+J1215+J1214</f>
        <v>0</v>
      </c>
      <c r="K1213" s="62">
        <f t="shared" si="202"/>
        <v>70392</v>
      </c>
      <c r="L1213" s="62"/>
      <c r="M1213" s="62"/>
      <c r="N1213" s="62"/>
      <c r="O1213" s="62">
        <f t="shared" si="203"/>
        <v>0</v>
      </c>
      <c r="P1213" s="63"/>
      <c r="Q1213" s="64">
        <f t="shared" si="199"/>
        <v>70392</v>
      </c>
      <c r="R1213" s="64">
        <f t="shared" si="200"/>
        <v>0</v>
      </c>
      <c r="S1213" s="64">
        <f t="shared" si="201"/>
        <v>70392</v>
      </c>
    </row>
    <row r="1214" spans="2:19" x14ac:dyDescent="0.2">
      <c r="B1214" s="48">
        <f t="shared" si="198"/>
        <v>717</v>
      </c>
      <c r="C1214" s="11"/>
      <c r="D1214" s="11"/>
      <c r="E1214" s="11"/>
      <c r="F1214" s="65"/>
      <c r="G1214" s="10">
        <v>632</v>
      </c>
      <c r="H1214" s="11" t="s">
        <v>135</v>
      </c>
      <c r="I1214" s="66">
        <f>200+150+2000+3000+6000+2165</f>
        <v>13515</v>
      </c>
      <c r="J1214" s="66"/>
      <c r="K1214" s="66">
        <f t="shared" si="202"/>
        <v>13515</v>
      </c>
      <c r="L1214" s="66"/>
      <c r="M1214" s="66"/>
      <c r="N1214" s="66"/>
      <c r="O1214" s="66">
        <f t="shared" si="203"/>
        <v>0</v>
      </c>
      <c r="P1214" s="67"/>
      <c r="Q1214" s="68">
        <f t="shared" si="199"/>
        <v>13515</v>
      </c>
      <c r="R1214" s="68">
        <f t="shared" si="200"/>
        <v>0</v>
      </c>
      <c r="S1214" s="68">
        <f t="shared" si="201"/>
        <v>13515</v>
      </c>
    </row>
    <row r="1215" spans="2:19" x14ac:dyDescent="0.2">
      <c r="B1215" s="48">
        <f t="shared" si="198"/>
        <v>718</v>
      </c>
      <c r="C1215" s="11"/>
      <c r="D1215" s="11"/>
      <c r="E1215" s="11"/>
      <c r="F1215" s="65"/>
      <c r="G1215" s="10">
        <v>633</v>
      </c>
      <c r="H1215" s="11" t="s">
        <v>126</v>
      </c>
      <c r="I1215" s="66">
        <f>70+1500+500+200+100+600+350+38907</f>
        <v>42227</v>
      </c>
      <c r="J1215" s="66"/>
      <c r="K1215" s="66">
        <f t="shared" si="202"/>
        <v>42227</v>
      </c>
      <c r="L1215" s="66"/>
      <c r="M1215" s="66"/>
      <c r="N1215" s="66"/>
      <c r="O1215" s="66">
        <f t="shared" si="203"/>
        <v>0</v>
      </c>
      <c r="P1215" s="67"/>
      <c r="Q1215" s="68">
        <f t="shared" si="199"/>
        <v>42227</v>
      </c>
      <c r="R1215" s="68">
        <f t="shared" si="200"/>
        <v>0</v>
      </c>
      <c r="S1215" s="68">
        <f t="shared" si="201"/>
        <v>42227</v>
      </c>
    </row>
    <row r="1216" spans="2:19" x14ac:dyDescent="0.2">
      <c r="B1216" s="48">
        <f t="shared" si="198"/>
        <v>719</v>
      </c>
      <c r="C1216" s="11"/>
      <c r="D1216" s="11"/>
      <c r="E1216" s="11"/>
      <c r="F1216" s="65"/>
      <c r="G1216" s="10">
        <v>635</v>
      </c>
      <c r="H1216" s="11" t="s">
        <v>134</v>
      </c>
      <c r="I1216" s="66">
        <f>700+10000</f>
        <v>10700</v>
      </c>
      <c r="J1216" s="66"/>
      <c r="K1216" s="66">
        <f t="shared" si="202"/>
        <v>10700</v>
      </c>
      <c r="L1216" s="66"/>
      <c r="M1216" s="66"/>
      <c r="N1216" s="66"/>
      <c r="O1216" s="66">
        <f t="shared" si="203"/>
        <v>0</v>
      </c>
      <c r="P1216" s="67"/>
      <c r="Q1216" s="68">
        <f t="shared" si="199"/>
        <v>10700</v>
      </c>
      <c r="R1216" s="68">
        <f t="shared" si="200"/>
        <v>0</v>
      </c>
      <c r="S1216" s="68">
        <f t="shared" si="201"/>
        <v>10700</v>
      </c>
    </row>
    <row r="1217" spans="2:19" x14ac:dyDescent="0.2">
      <c r="B1217" s="48">
        <f t="shared" si="198"/>
        <v>720</v>
      </c>
      <c r="C1217" s="11"/>
      <c r="D1217" s="11"/>
      <c r="E1217" s="11"/>
      <c r="F1217" s="65"/>
      <c r="G1217" s="10">
        <v>637</v>
      </c>
      <c r="H1217" s="11" t="s">
        <v>123</v>
      </c>
      <c r="I1217" s="66">
        <f>800+1500+250+750+650</f>
        <v>3950</v>
      </c>
      <c r="J1217" s="66"/>
      <c r="K1217" s="66">
        <f t="shared" si="202"/>
        <v>3950</v>
      </c>
      <c r="L1217" s="66"/>
      <c r="M1217" s="66"/>
      <c r="N1217" s="66"/>
      <c r="O1217" s="66">
        <f t="shared" si="203"/>
        <v>0</v>
      </c>
      <c r="P1217" s="67"/>
      <c r="Q1217" s="68">
        <f t="shared" si="199"/>
        <v>3950</v>
      </c>
      <c r="R1217" s="68">
        <f t="shared" si="200"/>
        <v>0</v>
      </c>
      <c r="S1217" s="68">
        <f t="shared" si="201"/>
        <v>3950</v>
      </c>
    </row>
    <row r="1218" spans="2:19" x14ac:dyDescent="0.2">
      <c r="B1218" s="48">
        <f t="shared" si="198"/>
        <v>721</v>
      </c>
      <c r="C1218" s="9"/>
      <c r="D1218" s="9"/>
      <c r="E1218" s="9"/>
      <c r="F1218" s="61" t="s">
        <v>80</v>
      </c>
      <c r="G1218" s="8">
        <v>640</v>
      </c>
      <c r="H1218" s="9" t="s">
        <v>130</v>
      </c>
      <c r="I1218" s="62">
        <f>1985+200+300</f>
        <v>2485</v>
      </c>
      <c r="J1218" s="62"/>
      <c r="K1218" s="62">
        <f t="shared" si="202"/>
        <v>2485</v>
      </c>
      <c r="L1218" s="62"/>
      <c r="M1218" s="62"/>
      <c r="N1218" s="62"/>
      <c r="O1218" s="62">
        <f t="shared" si="203"/>
        <v>0</v>
      </c>
      <c r="P1218" s="63"/>
      <c r="Q1218" s="64">
        <f t="shared" si="199"/>
        <v>2485</v>
      </c>
      <c r="R1218" s="64">
        <f t="shared" si="200"/>
        <v>0</v>
      </c>
      <c r="S1218" s="64">
        <f t="shared" si="201"/>
        <v>2485</v>
      </c>
    </row>
    <row r="1219" spans="2:19" s="164" customFormat="1" x14ac:dyDescent="0.2">
      <c r="B1219" s="48">
        <f t="shared" si="198"/>
        <v>722</v>
      </c>
      <c r="C1219" s="9"/>
      <c r="D1219" s="9"/>
      <c r="E1219" s="9"/>
      <c r="F1219" s="61" t="s">
        <v>50</v>
      </c>
      <c r="G1219" s="8">
        <v>610</v>
      </c>
      <c r="H1219" s="9" t="s">
        <v>132</v>
      </c>
      <c r="I1219" s="62">
        <v>41300</v>
      </c>
      <c r="J1219" s="62"/>
      <c r="K1219" s="62">
        <f t="shared" si="202"/>
        <v>41300</v>
      </c>
      <c r="L1219" s="62"/>
      <c r="M1219" s="62"/>
      <c r="N1219" s="62"/>
      <c r="O1219" s="62">
        <f t="shared" si="203"/>
        <v>0</v>
      </c>
      <c r="P1219" s="63"/>
      <c r="Q1219" s="64">
        <f t="shared" si="199"/>
        <v>41300</v>
      </c>
      <c r="R1219" s="64">
        <f t="shared" si="200"/>
        <v>0</v>
      </c>
      <c r="S1219" s="64">
        <f t="shared" si="201"/>
        <v>41300</v>
      </c>
    </row>
    <row r="1220" spans="2:19" x14ac:dyDescent="0.2">
      <c r="B1220" s="48">
        <f t="shared" si="198"/>
        <v>723</v>
      </c>
      <c r="C1220" s="9"/>
      <c r="D1220" s="9"/>
      <c r="E1220" s="9"/>
      <c r="F1220" s="61" t="s">
        <v>50</v>
      </c>
      <c r="G1220" s="8">
        <v>620</v>
      </c>
      <c r="H1220" s="9" t="s">
        <v>125</v>
      </c>
      <c r="I1220" s="62">
        <v>14400</v>
      </c>
      <c r="J1220" s="62"/>
      <c r="K1220" s="62">
        <f t="shared" si="202"/>
        <v>14400</v>
      </c>
      <c r="L1220" s="62"/>
      <c r="M1220" s="62"/>
      <c r="N1220" s="62"/>
      <c r="O1220" s="62">
        <f t="shared" si="203"/>
        <v>0</v>
      </c>
      <c r="P1220" s="63"/>
      <c r="Q1220" s="64">
        <f t="shared" si="199"/>
        <v>14400</v>
      </c>
      <c r="R1220" s="64">
        <f t="shared" si="200"/>
        <v>0</v>
      </c>
      <c r="S1220" s="64">
        <f t="shared" si="201"/>
        <v>14400</v>
      </c>
    </row>
    <row r="1221" spans="2:19" s="164" customFormat="1" x14ac:dyDescent="0.2">
      <c r="B1221" s="48">
        <f t="shared" si="198"/>
        <v>724</v>
      </c>
      <c r="C1221" s="9"/>
      <c r="D1221" s="9"/>
      <c r="E1221" s="9"/>
      <c r="F1221" s="61" t="s">
        <v>50</v>
      </c>
      <c r="G1221" s="8">
        <v>630</v>
      </c>
      <c r="H1221" s="9" t="s">
        <v>122</v>
      </c>
      <c r="I1221" s="62">
        <f>I1225+I1224+I1223+I1222</f>
        <v>86895</v>
      </c>
      <c r="J1221" s="62">
        <f>J1225+J1224+J1223+J1222</f>
        <v>0</v>
      </c>
      <c r="K1221" s="62">
        <f t="shared" si="202"/>
        <v>86895</v>
      </c>
      <c r="L1221" s="62"/>
      <c r="M1221" s="62"/>
      <c r="N1221" s="62"/>
      <c r="O1221" s="62">
        <f t="shared" si="203"/>
        <v>0</v>
      </c>
      <c r="P1221" s="63"/>
      <c r="Q1221" s="64">
        <f t="shared" si="199"/>
        <v>86895</v>
      </c>
      <c r="R1221" s="64">
        <f t="shared" si="200"/>
        <v>0</v>
      </c>
      <c r="S1221" s="64">
        <f t="shared" si="201"/>
        <v>86895</v>
      </c>
    </row>
    <row r="1222" spans="2:19" s="164" customFormat="1" x14ac:dyDescent="0.2">
      <c r="B1222" s="48">
        <f t="shared" si="198"/>
        <v>725</v>
      </c>
      <c r="C1222" s="11"/>
      <c r="D1222" s="11"/>
      <c r="E1222" s="11"/>
      <c r="F1222" s="65"/>
      <c r="G1222" s="10">
        <v>632</v>
      </c>
      <c r="H1222" s="11" t="s">
        <v>135</v>
      </c>
      <c r="I1222" s="66">
        <f>100+350+150+2000+3000+7000+4000</f>
        <v>16600</v>
      </c>
      <c r="J1222" s="66"/>
      <c r="K1222" s="66">
        <f t="shared" si="202"/>
        <v>16600</v>
      </c>
      <c r="L1222" s="66"/>
      <c r="M1222" s="66"/>
      <c r="N1222" s="66"/>
      <c r="O1222" s="66">
        <f t="shared" si="203"/>
        <v>0</v>
      </c>
      <c r="P1222" s="67"/>
      <c r="Q1222" s="68">
        <f t="shared" si="199"/>
        <v>16600</v>
      </c>
      <c r="R1222" s="68">
        <f t="shared" si="200"/>
        <v>0</v>
      </c>
      <c r="S1222" s="68">
        <f t="shared" si="201"/>
        <v>16600</v>
      </c>
    </row>
    <row r="1223" spans="2:19" s="164" customFormat="1" x14ac:dyDescent="0.2">
      <c r="B1223" s="48">
        <f t="shared" si="198"/>
        <v>726</v>
      </c>
      <c r="C1223" s="11"/>
      <c r="D1223" s="11"/>
      <c r="E1223" s="11"/>
      <c r="F1223" s="65"/>
      <c r="G1223" s="10">
        <v>633</v>
      </c>
      <c r="H1223" s="11" t="s">
        <v>126</v>
      </c>
      <c r="I1223" s="66">
        <f>1000+400+300+5000+400+56785</f>
        <v>63885</v>
      </c>
      <c r="J1223" s="66"/>
      <c r="K1223" s="66">
        <f t="shared" si="202"/>
        <v>63885</v>
      </c>
      <c r="L1223" s="66"/>
      <c r="M1223" s="66"/>
      <c r="N1223" s="66"/>
      <c r="O1223" s="66">
        <f t="shared" si="203"/>
        <v>0</v>
      </c>
      <c r="P1223" s="67"/>
      <c r="Q1223" s="68">
        <f t="shared" si="199"/>
        <v>63885</v>
      </c>
      <c r="R1223" s="68">
        <f t="shared" si="200"/>
        <v>0</v>
      </c>
      <c r="S1223" s="68">
        <f t="shared" si="201"/>
        <v>63885</v>
      </c>
    </row>
    <row r="1224" spans="2:19" s="164" customFormat="1" x14ac:dyDescent="0.2">
      <c r="B1224" s="48">
        <f t="shared" si="198"/>
        <v>727</v>
      </c>
      <c r="C1224" s="11"/>
      <c r="D1224" s="11"/>
      <c r="E1224" s="11"/>
      <c r="F1224" s="65"/>
      <c r="G1224" s="10">
        <v>635</v>
      </c>
      <c r="H1224" s="11" t="s">
        <v>134</v>
      </c>
      <c r="I1224" s="66">
        <f>800+2000</f>
        <v>2800</v>
      </c>
      <c r="J1224" s="66"/>
      <c r="K1224" s="66">
        <f t="shared" si="202"/>
        <v>2800</v>
      </c>
      <c r="L1224" s="66"/>
      <c r="M1224" s="66"/>
      <c r="N1224" s="66"/>
      <c r="O1224" s="66">
        <f t="shared" si="203"/>
        <v>0</v>
      </c>
      <c r="P1224" s="67"/>
      <c r="Q1224" s="68">
        <f t="shared" si="199"/>
        <v>2800</v>
      </c>
      <c r="R1224" s="68">
        <f t="shared" si="200"/>
        <v>0</v>
      </c>
      <c r="S1224" s="68">
        <f t="shared" si="201"/>
        <v>2800</v>
      </c>
    </row>
    <row r="1225" spans="2:19" x14ac:dyDescent="0.2">
      <c r="B1225" s="48">
        <f t="shared" si="198"/>
        <v>728</v>
      </c>
      <c r="C1225" s="11"/>
      <c r="D1225" s="11"/>
      <c r="E1225" s="11"/>
      <c r="F1225" s="65"/>
      <c r="G1225" s="10">
        <v>637</v>
      </c>
      <c r="H1225" s="11" t="s">
        <v>123</v>
      </c>
      <c r="I1225" s="66">
        <f>60+1500+250+700+600+500</f>
        <v>3610</v>
      </c>
      <c r="J1225" s="66"/>
      <c r="K1225" s="66">
        <f t="shared" si="202"/>
        <v>3610</v>
      </c>
      <c r="L1225" s="66"/>
      <c r="M1225" s="66"/>
      <c r="N1225" s="66"/>
      <c r="O1225" s="66">
        <f t="shared" si="203"/>
        <v>0</v>
      </c>
      <c r="P1225" s="67"/>
      <c r="Q1225" s="68">
        <f t="shared" si="199"/>
        <v>3610</v>
      </c>
      <c r="R1225" s="68">
        <f t="shared" si="200"/>
        <v>0</v>
      </c>
      <c r="S1225" s="68">
        <f t="shared" si="201"/>
        <v>3610</v>
      </c>
    </row>
    <row r="1226" spans="2:19" x14ac:dyDescent="0.2">
      <c r="B1226" s="48">
        <f t="shared" si="198"/>
        <v>729</v>
      </c>
      <c r="C1226" s="9"/>
      <c r="D1226" s="9"/>
      <c r="E1226" s="9"/>
      <c r="F1226" s="61" t="s">
        <v>50</v>
      </c>
      <c r="G1226" s="8">
        <v>640</v>
      </c>
      <c r="H1226" s="9" t="s">
        <v>130</v>
      </c>
      <c r="I1226" s="62">
        <v>500</v>
      </c>
      <c r="J1226" s="62"/>
      <c r="K1226" s="62">
        <f t="shared" si="202"/>
        <v>500</v>
      </c>
      <c r="L1226" s="62"/>
      <c r="M1226" s="62"/>
      <c r="N1226" s="62"/>
      <c r="O1226" s="62">
        <f t="shared" si="203"/>
        <v>0</v>
      </c>
      <c r="P1226" s="63"/>
      <c r="Q1226" s="64">
        <f t="shared" si="199"/>
        <v>500</v>
      </c>
      <c r="R1226" s="64">
        <f t="shared" si="200"/>
        <v>0</v>
      </c>
      <c r="S1226" s="64">
        <f t="shared" si="201"/>
        <v>500</v>
      </c>
    </row>
    <row r="1227" spans="2:19" ht="15" x14ac:dyDescent="0.2">
      <c r="B1227" s="48">
        <f t="shared" si="198"/>
        <v>730</v>
      </c>
      <c r="C1227" s="51">
        <v>5</v>
      </c>
      <c r="D1227" s="435" t="s">
        <v>121</v>
      </c>
      <c r="E1227" s="436"/>
      <c r="F1227" s="436"/>
      <c r="G1227" s="436"/>
      <c r="H1227" s="436"/>
      <c r="I1227" s="52">
        <f>I1228+I1231+I1238+I1243+I1246</f>
        <v>767627</v>
      </c>
      <c r="J1227" s="52">
        <f>J1228+J1231+J1238+J1243+J1246</f>
        <v>-149580</v>
      </c>
      <c r="K1227" s="52">
        <f t="shared" si="202"/>
        <v>618047</v>
      </c>
      <c r="L1227" s="53"/>
      <c r="M1227" s="52"/>
      <c r="N1227" s="52"/>
      <c r="O1227" s="52">
        <f t="shared" si="203"/>
        <v>0</v>
      </c>
      <c r="P1227" s="54"/>
      <c r="Q1227" s="72">
        <f t="shared" si="199"/>
        <v>767627</v>
      </c>
      <c r="R1227" s="72">
        <f t="shared" si="200"/>
        <v>-149580</v>
      </c>
      <c r="S1227" s="72">
        <f t="shared" si="201"/>
        <v>618047</v>
      </c>
    </row>
    <row r="1228" spans="2:19" x14ac:dyDescent="0.2">
      <c r="B1228" s="48">
        <f t="shared" si="198"/>
        <v>731</v>
      </c>
      <c r="C1228" s="184"/>
      <c r="D1228" s="184"/>
      <c r="E1228" s="184"/>
      <c r="F1228" s="185"/>
      <c r="G1228" s="185"/>
      <c r="H1228" s="184" t="s">
        <v>129</v>
      </c>
      <c r="I1228" s="186">
        <f>I1229</f>
        <v>4900</v>
      </c>
      <c r="J1228" s="186">
        <f>J1229</f>
        <v>0</v>
      </c>
      <c r="K1228" s="186">
        <f t="shared" si="202"/>
        <v>4900</v>
      </c>
      <c r="L1228" s="62"/>
      <c r="M1228" s="186"/>
      <c r="N1228" s="186"/>
      <c r="O1228" s="186">
        <f t="shared" si="203"/>
        <v>0</v>
      </c>
      <c r="P1228" s="63"/>
      <c r="Q1228" s="187">
        <f t="shared" si="199"/>
        <v>4900</v>
      </c>
      <c r="R1228" s="187">
        <f t="shared" si="200"/>
        <v>0</v>
      </c>
      <c r="S1228" s="187">
        <f t="shared" si="201"/>
        <v>4900</v>
      </c>
    </row>
    <row r="1229" spans="2:19" x14ac:dyDescent="0.2">
      <c r="B1229" s="48">
        <f t="shared" ref="B1229:B1250" si="204">B1228+1</f>
        <v>732</v>
      </c>
      <c r="C1229" s="9"/>
      <c r="D1229" s="9"/>
      <c r="E1229" s="9"/>
      <c r="F1229" s="61" t="s">
        <v>51</v>
      </c>
      <c r="G1229" s="8">
        <v>630</v>
      </c>
      <c r="H1229" s="9" t="s">
        <v>122</v>
      </c>
      <c r="I1229" s="62">
        <f>I1230</f>
        <v>4900</v>
      </c>
      <c r="J1229" s="62">
        <f>J1230</f>
        <v>0</v>
      </c>
      <c r="K1229" s="62">
        <f t="shared" si="202"/>
        <v>4900</v>
      </c>
      <c r="L1229" s="62"/>
      <c r="M1229" s="62"/>
      <c r="N1229" s="62"/>
      <c r="O1229" s="62">
        <f t="shared" si="203"/>
        <v>0</v>
      </c>
      <c r="P1229" s="63"/>
      <c r="Q1229" s="64">
        <f t="shared" si="199"/>
        <v>4900</v>
      </c>
      <c r="R1229" s="64">
        <f t="shared" si="200"/>
        <v>0</v>
      </c>
      <c r="S1229" s="64">
        <f t="shared" si="201"/>
        <v>4900</v>
      </c>
    </row>
    <row r="1230" spans="2:19" x14ac:dyDescent="0.2">
      <c r="B1230" s="48">
        <f t="shared" si="204"/>
        <v>733</v>
      </c>
      <c r="C1230" s="11"/>
      <c r="D1230" s="11"/>
      <c r="E1230" s="11"/>
      <c r="F1230" s="65"/>
      <c r="G1230" s="10">
        <v>633</v>
      </c>
      <c r="H1230" s="11" t="s">
        <v>126</v>
      </c>
      <c r="I1230" s="66">
        <f>900+4000</f>
        <v>4900</v>
      </c>
      <c r="J1230" s="66"/>
      <c r="K1230" s="66">
        <f t="shared" si="202"/>
        <v>4900</v>
      </c>
      <c r="L1230" s="66"/>
      <c r="M1230" s="66"/>
      <c r="N1230" s="66"/>
      <c r="O1230" s="66">
        <f t="shared" si="203"/>
        <v>0</v>
      </c>
      <c r="P1230" s="67"/>
      <c r="Q1230" s="68">
        <f t="shared" si="199"/>
        <v>4900</v>
      </c>
      <c r="R1230" s="68">
        <f t="shared" si="200"/>
        <v>0</v>
      </c>
      <c r="S1230" s="68">
        <f t="shared" si="201"/>
        <v>4900</v>
      </c>
    </row>
    <row r="1231" spans="2:19" x14ac:dyDescent="0.2">
      <c r="B1231" s="48">
        <f t="shared" si="204"/>
        <v>734</v>
      </c>
      <c r="C1231" s="184"/>
      <c r="D1231" s="184"/>
      <c r="E1231" s="184"/>
      <c r="F1231" s="185"/>
      <c r="G1231" s="185"/>
      <c r="H1231" s="184" t="s">
        <v>124</v>
      </c>
      <c r="I1231" s="186">
        <f>I1232+I1233+I1234+I1237</f>
        <v>59650</v>
      </c>
      <c r="J1231" s="186">
        <f>J1232+J1233+J1234+J1237</f>
        <v>0</v>
      </c>
      <c r="K1231" s="186">
        <f t="shared" si="202"/>
        <v>59650</v>
      </c>
      <c r="L1231" s="62"/>
      <c r="M1231" s="186"/>
      <c r="N1231" s="186"/>
      <c r="O1231" s="186">
        <f t="shared" si="203"/>
        <v>0</v>
      </c>
      <c r="P1231" s="63"/>
      <c r="Q1231" s="187">
        <f t="shared" si="199"/>
        <v>59650</v>
      </c>
      <c r="R1231" s="187">
        <f t="shared" si="200"/>
        <v>0</v>
      </c>
      <c r="S1231" s="187">
        <f t="shared" si="201"/>
        <v>59650</v>
      </c>
    </row>
    <row r="1232" spans="2:19" x14ac:dyDescent="0.2">
      <c r="B1232" s="48">
        <f t="shared" si="204"/>
        <v>735</v>
      </c>
      <c r="C1232" s="9"/>
      <c r="D1232" s="9"/>
      <c r="E1232" s="9"/>
      <c r="F1232" s="61" t="s">
        <v>51</v>
      </c>
      <c r="G1232" s="8">
        <v>610</v>
      </c>
      <c r="H1232" s="9" t="s">
        <v>132</v>
      </c>
      <c r="I1232" s="62">
        <f>33000+7000</f>
        <v>40000</v>
      </c>
      <c r="J1232" s="62"/>
      <c r="K1232" s="62">
        <f t="shared" si="202"/>
        <v>40000</v>
      </c>
      <c r="L1232" s="62"/>
      <c r="M1232" s="62"/>
      <c r="N1232" s="62"/>
      <c r="O1232" s="62">
        <f t="shared" si="203"/>
        <v>0</v>
      </c>
      <c r="P1232" s="63"/>
      <c r="Q1232" s="64">
        <f t="shared" si="199"/>
        <v>40000</v>
      </c>
      <c r="R1232" s="64">
        <f t="shared" si="200"/>
        <v>0</v>
      </c>
      <c r="S1232" s="64">
        <f t="shared" si="201"/>
        <v>40000</v>
      </c>
    </row>
    <row r="1233" spans="2:19" x14ac:dyDescent="0.2">
      <c r="B1233" s="48">
        <f t="shared" si="204"/>
        <v>736</v>
      </c>
      <c r="C1233" s="9"/>
      <c r="D1233" s="9"/>
      <c r="E1233" s="9"/>
      <c r="F1233" s="61" t="s">
        <v>51</v>
      </c>
      <c r="G1233" s="8">
        <v>620</v>
      </c>
      <c r="H1233" s="9" t="s">
        <v>125</v>
      </c>
      <c r="I1233" s="62">
        <f>4000+560+5600+320+1200+400+1900+800</f>
        <v>14780</v>
      </c>
      <c r="J1233" s="62"/>
      <c r="K1233" s="62">
        <f t="shared" si="202"/>
        <v>14780</v>
      </c>
      <c r="L1233" s="62"/>
      <c r="M1233" s="62"/>
      <c r="N1233" s="62"/>
      <c r="O1233" s="62">
        <f t="shared" si="203"/>
        <v>0</v>
      </c>
      <c r="P1233" s="63"/>
      <c r="Q1233" s="64">
        <f t="shared" si="199"/>
        <v>14780</v>
      </c>
      <c r="R1233" s="64">
        <f t="shared" si="200"/>
        <v>0</v>
      </c>
      <c r="S1233" s="64">
        <f t="shared" si="201"/>
        <v>14780</v>
      </c>
    </row>
    <row r="1234" spans="2:19" x14ac:dyDescent="0.2">
      <c r="B1234" s="48">
        <f t="shared" si="204"/>
        <v>737</v>
      </c>
      <c r="C1234" s="9"/>
      <c r="D1234" s="9"/>
      <c r="E1234" s="9"/>
      <c r="F1234" s="61" t="s">
        <v>51</v>
      </c>
      <c r="G1234" s="8">
        <v>630</v>
      </c>
      <c r="H1234" s="9" t="s">
        <v>122</v>
      </c>
      <c r="I1234" s="62">
        <f>SUM(I1235:I1236)</f>
        <v>2870</v>
      </c>
      <c r="J1234" s="62">
        <f>SUM(J1235:J1236)</f>
        <v>0</v>
      </c>
      <c r="K1234" s="62">
        <f t="shared" si="202"/>
        <v>2870</v>
      </c>
      <c r="L1234" s="62"/>
      <c r="M1234" s="62"/>
      <c r="N1234" s="62"/>
      <c r="O1234" s="62">
        <f t="shared" si="203"/>
        <v>0</v>
      </c>
      <c r="P1234" s="63"/>
      <c r="Q1234" s="64">
        <f t="shared" si="199"/>
        <v>2870</v>
      </c>
      <c r="R1234" s="64">
        <f t="shared" si="200"/>
        <v>0</v>
      </c>
      <c r="S1234" s="64">
        <f t="shared" si="201"/>
        <v>2870</v>
      </c>
    </row>
    <row r="1235" spans="2:19" x14ac:dyDescent="0.2">
      <c r="B1235" s="48">
        <f t="shared" si="204"/>
        <v>738</v>
      </c>
      <c r="C1235" s="11"/>
      <c r="D1235" s="11"/>
      <c r="E1235" s="11"/>
      <c r="F1235" s="65"/>
      <c r="G1235" s="10">
        <v>633</v>
      </c>
      <c r="H1235" s="11" t="s">
        <v>126</v>
      </c>
      <c r="I1235" s="66">
        <f>400+900</f>
        <v>1300</v>
      </c>
      <c r="J1235" s="66"/>
      <c r="K1235" s="66">
        <f t="shared" si="202"/>
        <v>1300</v>
      </c>
      <c r="L1235" s="66"/>
      <c r="M1235" s="66"/>
      <c r="N1235" s="66"/>
      <c r="O1235" s="66">
        <f t="shared" si="203"/>
        <v>0</v>
      </c>
      <c r="P1235" s="67"/>
      <c r="Q1235" s="68">
        <f t="shared" si="199"/>
        <v>1300</v>
      </c>
      <c r="R1235" s="68">
        <f t="shared" si="200"/>
        <v>0</v>
      </c>
      <c r="S1235" s="68">
        <f t="shared" si="201"/>
        <v>1300</v>
      </c>
    </row>
    <row r="1236" spans="2:19" x14ac:dyDescent="0.2">
      <c r="B1236" s="48">
        <f t="shared" si="204"/>
        <v>739</v>
      </c>
      <c r="C1236" s="11"/>
      <c r="D1236" s="11"/>
      <c r="E1236" s="11"/>
      <c r="F1236" s="65"/>
      <c r="G1236" s="10">
        <v>637</v>
      </c>
      <c r="H1236" s="11" t="s">
        <v>123</v>
      </c>
      <c r="I1236" s="66">
        <f>600+550+420</f>
        <v>1570</v>
      </c>
      <c r="J1236" s="66"/>
      <c r="K1236" s="66">
        <f t="shared" si="202"/>
        <v>1570</v>
      </c>
      <c r="L1236" s="66"/>
      <c r="M1236" s="66"/>
      <c r="N1236" s="66"/>
      <c r="O1236" s="66">
        <f t="shared" si="203"/>
        <v>0</v>
      </c>
      <c r="P1236" s="67"/>
      <c r="Q1236" s="68">
        <f t="shared" si="199"/>
        <v>1570</v>
      </c>
      <c r="R1236" s="68">
        <f t="shared" si="200"/>
        <v>0</v>
      </c>
      <c r="S1236" s="68">
        <f t="shared" si="201"/>
        <v>1570</v>
      </c>
    </row>
    <row r="1237" spans="2:19" x14ac:dyDescent="0.2">
      <c r="B1237" s="48">
        <f t="shared" si="204"/>
        <v>740</v>
      </c>
      <c r="C1237" s="11"/>
      <c r="D1237" s="11"/>
      <c r="E1237" s="11"/>
      <c r="F1237" s="65" t="s">
        <v>51</v>
      </c>
      <c r="G1237" s="8">
        <v>640</v>
      </c>
      <c r="H1237" s="9" t="s">
        <v>130</v>
      </c>
      <c r="I1237" s="62">
        <v>2000</v>
      </c>
      <c r="J1237" s="62"/>
      <c r="K1237" s="62">
        <f t="shared" si="202"/>
        <v>2000</v>
      </c>
      <c r="L1237" s="66"/>
      <c r="M1237" s="66"/>
      <c r="N1237" s="66"/>
      <c r="O1237" s="66">
        <f t="shared" si="203"/>
        <v>0</v>
      </c>
      <c r="P1237" s="67"/>
      <c r="Q1237" s="68">
        <f t="shared" si="199"/>
        <v>2000</v>
      </c>
      <c r="R1237" s="68">
        <f t="shared" si="200"/>
        <v>0</v>
      </c>
      <c r="S1237" s="68">
        <f t="shared" si="201"/>
        <v>2000</v>
      </c>
    </row>
    <row r="1238" spans="2:19" x14ac:dyDescent="0.2">
      <c r="B1238" s="48">
        <f t="shared" si="204"/>
        <v>741</v>
      </c>
      <c r="C1238" s="191"/>
      <c r="D1238" s="191"/>
      <c r="E1238" s="191"/>
      <c r="F1238" s="192"/>
      <c r="G1238" s="193"/>
      <c r="H1238" s="191" t="s">
        <v>345</v>
      </c>
      <c r="I1238" s="194">
        <f>I1239</f>
        <v>30500</v>
      </c>
      <c r="J1238" s="194">
        <f>J1239</f>
        <v>0</v>
      </c>
      <c r="K1238" s="194">
        <f t="shared" si="202"/>
        <v>30500</v>
      </c>
      <c r="L1238" s="62"/>
      <c r="M1238" s="194"/>
      <c r="N1238" s="194"/>
      <c r="O1238" s="194">
        <f t="shared" si="203"/>
        <v>0</v>
      </c>
      <c r="P1238" s="63"/>
      <c r="Q1238" s="195">
        <f t="shared" si="199"/>
        <v>30500</v>
      </c>
      <c r="R1238" s="195">
        <f t="shared" si="200"/>
        <v>0</v>
      </c>
      <c r="S1238" s="195">
        <f t="shared" si="201"/>
        <v>30500</v>
      </c>
    </row>
    <row r="1239" spans="2:19" x14ac:dyDescent="0.2">
      <c r="B1239" s="48">
        <f t="shared" si="204"/>
        <v>742</v>
      </c>
      <c r="C1239" s="9"/>
      <c r="D1239" s="9"/>
      <c r="E1239" s="9"/>
      <c r="F1239" s="61" t="s">
        <v>51</v>
      </c>
      <c r="G1239" s="8">
        <v>640</v>
      </c>
      <c r="H1239" s="9" t="s">
        <v>130</v>
      </c>
      <c r="I1239" s="62">
        <f>SUM(I1240:I1242)</f>
        <v>30500</v>
      </c>
      <c r="J1239" s="62">
        <f>SUM(J1240:J1242)</f>
        <v>0</v>
      </c>
      <c r="K1239" s="62">
        <f t="shared" si="202"/>
        <v>30500</v>
      </c>
      <c r="L1239" s="62"/>
      <c r="M1239" s="62"/>
      <c r="N1239" s="62"/>
      <c r="O1239" s="62">
        <f t="shared" si="203"/>
        <v>0</v>
      </c>
      <c r="P1239" s="63"/>
      <c r="Q1239" s="64">
        <f t="shared" si="199"/>
        <v>30500</v>
      </c>
      <c r="R1239" s="64">
        <f t="shared" si="200"/>
        <v>0</v>
      </c>
      <c r="S1239" s="64">
        <f t="shared" si="201"/>
        <v>30500</v>
      </c>
    </row>
    <row r="1240" spans="2:19" x14ac:dyDescent="0.2">
      <c r="B1240" s="48">
        <f t="shared" si="204"/>
        <v>743</v>
      </c>
      <c r="C1240" s="11"/>
      <c r="D1240" s="11"/>
      <c r="E1240" s="11"/>
      <c r="F1240" s="65"/>
      <c r="G1240" s="10"/>
      <c r="H1240" s="13" t="s">
        <v>265</v>
      </c>
      <c r="I1240" s="83">
        <v>15000</v>
      </c>
      <c r="J1240" s="83"/>
      <c r="K1240" s="83">
        <f t="shared" si="202"/>
        <v>15000</v>
      </c>
      <c r="L1240" s="66"/>
      <c r="M1240" s="66"/>
      <c r="N1240" s="66"/>
      <c r="O1240" s="66">
        <f t="shared" si="203"/>
        <v>0</v>
      </c>
      <c r="P1240" s="67"/>
      <c r="Q1240" s="68">
        <f t="shared" si="199"/>
        <v>15000</v>
      </c>
      <c r="R1240" s="68">
        <f t="shared" si="200"/>
        <v>0</v>
      </c>
      <c r="S1240" s="68">
        <f t="shared" si="201"/>
        <v>15000</v>
      </c>
    </row>
    <row r="1241" spans="2:19" x14ac:dyDescent="0.2">
      <c r="B1241" s="48">
        <f t="shared" si="204"/>
        <v>744</v>
      </c>
      <c r="C1241" s="11"/>
      <c r="D1241" s="11"/>
      <c r="E1241" s="11"/>
      <c r="F1241" s="65"/>
      <c r="G1241" s="10"/>
      <c r="H1241" s="13" t="s">
        <v>13</v>
      </c>
      <c r="I1241" s="83">
        <v>15000</v>
      </c>
      <c r="J1241" s="83"/>
      <c r="K1241" s="83">
        <f t="shared" si="202"/>
        <v>15000</v>
      </c>
      <c r="L1241" s="66"/>
      <c r="M1241" s="66"/>
      <c r="N1241" s="66"/>
      <c r="O1241" s="66">
        <f t="shared" si="203"/>
        <v>0</v>
      </c>
      <c r="P1241" s="67"/>
      <c r="Q1241" s="68">
        <f t="shared" si="199"/>
        <v>15000</v>
      </c>
      <c r="R1241" s="68">
        <f t="shared" si="200"/>
        <v>0</v>
      </c>
      <c r="S1241" s="68">
        <f t="shared" si="201"/>
        <v>15000</v>
      </c>
    </row>
    <row r="1242" spans="2:19" s="79" customFormat="1" ht="24" x14ac:dyDescent="0.2">
      <c r="B1242" s="48">
        <f t="shared" si="204"/>
        <v>745</v>
      </c>
      <c r="C1242" s="196"/>
      <c r="D1242" s="196"/>
      <c r="E1242" s="196"/>
      <c r="F1242" s="197"/>
      <c r="G1242" s="198"/>
      <c r="H1242" s="75" t="s">
        <v>564</v>
      </c>
      <c r="I1242" s="76">
        <v>500</v>
      </c>
      <c r="J1242" s="76"/>
      <c r="K1242" s="76">
        <f t="shared" si="202"/>
        <v>500</v>
      </c>
      <c r="L1242" s="199"/>
      <c r="M1242" s="199"/>
      <c r="N1242" s="199"/>
      <c r="O1242" s="199">
        <f t="shared" si="203"/>
        <v>0</v>
      </c>
      <c r="P1242" s="200"/>
      <c r="Q1242" s="80">
        <f t="shared" si="199"/>
        <v>500</v>
      </c>
      <c r="R1242" s="80">
        <f t="shared" si="200"/>
        <v>0</v>
      </c>
      <c r="S1242" s="80">
        <f t="shared" si="201"/>
        <v>500</v>
      </c>
    </row>
    <row r="1243" spans="2:19" x14ac:dyDescent="0.2">
      <c r="B1243" s="48">
        <f t="shared" si="204"/>
        <v>746</v>
      </c>
      <c r="C1243" s="191"/>
      <c r="D1243" s="191"/>
      <c r="E1243" s="191"/>
      <c r="F1243" s="192"/>
      <c r="G1243" s="193"/>
      <c r="H1243" s="191" t="s">
        <v>130</v>
      </c>
      <c r="I1243" s="194">
        <f>I1244</f>
        <v>284567</v>
      </c>
      <c r="J1243" s="194">
        <f>J1244</f>
        <v>-149580</v>
      </c>
      <c r="K1243" s="194">
        <f t="shared" si="202"/>
        <v>134987</v>
      </c>
      <c r="L1243" s="62"/>
      <c r="M1243" s="194"/>
      <c r="N1243" s="194"/>
      <c r="O1243" s="194">
        <f t="shared" si="203"/>
        <v>0</v>
      </c>
      <c r="P1243" s="63"/>
      <c r="Q1243" s="195">
        <f t="shared" si="199"/>
        <v>284567</v>
      </c>
      <c r="R1243" s="195">
        <f t="shared" si="200"/>
        <v>-149580</v>
      </c>
      <c r="S1243" s="195">
        <f t="shared" si="201"/>
        <v>134987</v>
      </c>
    </row>
    <row r="1244" spans="2:19" x14ac:dyDescent="0.2">
      <c r="B1244" s="48">
        <f t="shared" si="204"/>
        <v>747</v>
      </c>
      <c r="C1244" s="11"/>
      <c r="D1244" s="11"/>
      <c r="E1244" s="11"/>
      <c r="F1244" s="65" t="s">
        <v>120</v>
      </c>
      <c r="G1244" s="10">
        <v>640</v>
      </c>
      <c r="H1244" s="11" t="s">
        <v>131</v>
      </c>
      <c r="I1244" s="66">
        <f>I1245</f>
        <v>284567</v>
      </c>
      <c r="J1244" s="66">
        <f>J1245</f>
        <v>-149580</v>
      </c>
      <c r="K1244" s="66">
        <f t="shared" si="202"/>
        <v>134987</v>
      </c>
      <c r="L1244" s="66"/>
      <c r="M1244" s="66"/>
      <c r="N1244" s="66"/>
      <c r="O1244" s="66">
        <f t="shared" si="203"/>
        <v>0</v>
      </c>
      <c r="P1244" s="67"/>
      <c r="Q1244" s="68">
        <f t="shared" si="199"/>
        <v>284567</v>
      </c>
      <c r="R1244" s="68">
        <f t="shared" si="200"/>
        <v>-149580</v>
      </c>
      <c r="S1244" s="68">
        <f t="shared" si="201"/>
        <v>134987</v>
      </c>
    </row>
    <row r="1245" spans="2:19" s="164" customFormat="1" x14ac:dyDescent="0.2">
      <c r="B1245" s="48">
        <f t="shared" si="204"/>
        <v>748</v>
      </c>
      <c r="C1245" s="13"/>
      <c r="D1245" s="13"/>
      <c r="E1245" s="13"/>
      <c r="F1245" s="82"/>
      <c r="G1245" s="82"/>
      <c r="H1245" s="13" t="s">
        <v>362</v>
      </c>
      <c r="I1245" s="83">
        <f>30000+33858+160380-500+68399-4800-1000-1500-270</f>
        <v>284567</v>
      </c>
      <c r="J1245" s="83">
        <f>-140000-2980-6600</f>
        <v>-149580</v>
      </c>
      <c r="K1245" s="83">
        <f t="shared" si="202"/>
        <v>134987</v>
      </c>
      <c r="L1245" s="83"/>
      <c r="M1245" s="83"/>
      <c r="N1245" s="83"/>
      <c r="O1245" s="83">
        <f t="shared" si="203"/>
        <v>0</v>
      </c>
      <c r="P1245" s="84"/>
      <c r="Q1245" s="85">
        <f t="shared" si="199"/>
        <v>284567</v>
      </c>
      <c r="R1245" s="85">
        <f t="shared" si="200"/>
        <v>-149580</v>
      </c>
      <c r="S1245" s="85">
        <f t="shared" si="201"/>
        <v>134987</v>
      </c>
    </row>
    <row r="1246" spans="2:19" s="164" customFormat="1" ht="15" x14ac:dyDescent="0.25">
      <c r="B1246" s="48">
        <f t="shared" si="204"/>
        <v>749</v>
      </c>
      <c r="C1246" s="166"/>
      <c r="D1246" s="166"/>
      <c r="E1246" s="166">
        <v>4</v>
      </c>
      <c r="F1246" s="167"/>
      <c r="G1246" s="167"/>
      <c r="H1246" s="166" t="s">
        <v>84</v>
      </c>
      <c r="I1246" s="168">
        <f>I1247+I1248+I1249+I1257</f>
        <v>388010</v>
      </c>
      <c r="J1246" s="168">
        <f>J1247+J1248+J1249+J1257</f>
        <v>0</v>
      </c>
      <c r="K1246" s="168">
        <f t="shared" si="202"/>
        <v>388010</v>
      </c>
      <c r="L1246" s="58"/>
      <c r="M1246" s="168"/>
      <c r="N1246" s="168"/>
      <c r="O1246" s="168">
        <f t="shared" si="203"/>
        <v>0</v>
      </c>
      <c r="P1246" s="59"/>
      <c r="Q1246" s="169">
        <f t="shared" si="199"/>
        <v>388010</v>
      </c>
      <c r="R1246" s="169">
        <f t="shared" si="200"/>
        <v>0</v>
      </c>
      <c r="S1246" s="169">
        <f t="shared" si="201"/>
        <v>388010</v>
      </c>
    </row>
    <row r="1247" spans="2:19" s="164" customFormat="1" x14ac:dyDescent="0.2">
      <c r="B1247" s="48">
        <f t="shared" si="204"/>
        <v>750</v>
      </c>
      <c r="C1247" s="9"/>
      <c r="D1247" s="9"/>
      <c r="E1247" s="9"/>
      <c r="F1247" s="61" t="s">
        <v>73</v>
      </c>
      <c r="G1247" s="8">
        <v>610</v>
      </c>
      <c r="H1247" s="9" t="s">
        <v>132</v>
      </c>
      <c r="I1247" s="62">
        <f>91842+23616+5880+20223</f>
        <v>141561</v>
      </c>
      <c r="J1247" s="62"/>
      <c r="K1247" s="62">
        <f t="shared" si="202"/>
        <v>141561</v>
      </c>
      <c r="L1247" s="62"/>
      <c r="M1247" s="62"/>
      <c r="N1247" s="62"/>
      <c r="O1247" s="62">
        <f t="shared" si="203"/>
        <v>0</v>
      </c>
      <c r="P1247" s="63"/>
      <c r="Q1247" s="64">
        <f t="shared" si="199"/>
        <v>141561</v>
      </c>
      <c r="R1247" s="64">
        <f t="shared" si="200"/>
        <v>0</v>
      </c>
      <c r="S1247" s="64">
        <f t="shared" si="201"/>
        <v>141561</v>
      </c>
    </row>
    <row r="1248" spans="2:19" s="164" customFormat="1" x14ac:dyDescent="0.2">
      <c r="B1248" s="48">
        <f t="shared" si="204"/>
        <v>751</v>
      </c>
      <c r="C1248" s="9"/>
      <c r="D1248" s="9"/>
      <c r="E1248" s="9"/>
      <c r="F1248" s="61" t="s">
        <v>73</v>
      </c>
      <c r="G1248" s="8">
        <v>620</v>
      </c>
      <c r="H1248" s="9" t="s">
        <v>125</v>
      </c>
      <c r="I1248" s="62">
        <f>14872+2082+20820+1190+4461+1440+7064+2831</f>
        <v>54760</v>
      </c>
      <c r="J1248" s="62"/>
      <c r="K1248" s="62">
        <f t="shared" si="202"/>
        <v>54760</v>
      </c>
      <c r="L1248" s="62"/>
      <c r="M1248" s="62"/>
      <c r="N1248" s="62"/>
      <c r="O1248" s="62">
        <f t="shared" si="203"/>
        <v>0</v>
      </c>
      <c r="P1248" s="63"/>
      <c r="Q1248" s="64">
        <f t="shared" si="199"/>
        <v>54760</v>
      </c>
      <c r="R1248" s="64">
        <f t="shared" si="200"/>
        <v>0</v>
      </c>
      <c r="S1248" s="64">
        <f t="shared" si="201"/>
        <v>54760</v>
      </c>
    </row>
    <row r="1249" spans="2:19" s="164" customFormat="1" x14ac:dyDescent="0.2">
      <c r="B1249" s="48">
        <f t="shared" si="204"/>
        <v>752</v>
      </c>
      <c r="C1249" s="9"/>
      <c r="D1249" s="9"/>
      <c r="E1249" s="9"/>
      <c r="F1249" s="61" t="s">
        <v>73</v>
      </c>
      <c r="G1249" s="8">
        <v>630</v>
      </c>
      <c r="H1249" s="9" t="s">
        <v>122</v>
      </c>
      <c r="I1249" s="62">
        <f>SUM(I1250:I1256)</f>
        <v>184695</v>
      </c>
      <c r="J1249" s="62">
        <f>SUM(J1250:J1256)</f>
        <v>0</v>
      </c>
      <c r="K1249" s="62">
        <f t="shared" si="202"/>
        <v>184695</v>
      </c>
      <c r="L1249" s="62"/>
      <c r="M1249" s="62"/>
      <c r="N1249" s="62"/>
      <c r="O1249" s="62">
        <f t="shared" si="203"/>
        <v>0</v>
      </c>
      <c r="P1249" s="63"/>
      <c r="Q1249" s="64">
        <f t="shared" si="199"/>
        <v>184695</v>
      </c>
      <c r="R1249" s="64">
        <f t="shared" si="200"/>
        <v>0</v>
      </c>
      <c r="S1249" s="64">
        <f t="shared" si="201"/>
        <v>184695</v>
      </c>
    </row>
    <row r="1250" spans="2:19" s="164" customFormat="1" x14ac:dyDescent="0.2">
      <c r="B1250" s="48">
        <f t="shared" si="204"/>
        <v>753</v>
      </c>
      <c r="C1250" s="11"/>
      <c r="D1250" s="11"/>
      <c r="E1250" s="11"/>
      <c r="F1250" s="65"/>
      <c r="G1250" s="10">
        <v>631</v>
      </c>
      <c r="H1250" s="11" t="s">
        <v>128</v>
      </c>
      <c r="I1250" s="66">
        <v>200</v>
      </c>
      <c r="J1250" s="66"/>
      <c r="K1250" s="66">
        <f t="shared" si="202"/>
        <v>200</v>
      </c>
      <c r="L1250" s="66"/>
      <c r="M1250" s="66"/>
      <c r="N1250" s="66"/>
      <c r="O1250" s="66">
        <f t="shared" si="203"/>
        <v>0</v>
      </c>
      <c r="P1250" s="67"/>
      <c r="Q1250" s="68">
        <f t="shared" si="199"/>
        <v>200</v>
      </c>
      <c r="R1250" s="68">
        <f t="shared" si="200"/>
        <v>0</v>
      </c>
      <c r="S1250" s="68">
        <f t="shared" si="201"/>
        <v>200</v>
      </c>
    </row>
    <row r="1251" spans="2:19" s="164" customFormat="1" x14ac:dyDescent="0.2">
      <c r="B1251" s="48">
        <f t="shared" ref="B1251:B1257" si="205">B1250+1</f>
        <v>754</v>
      </c>
      <c r="C1251" s="11"/>
      <c r="D1251" s="11"/>
      <c r="E1251" s="11"/>
      <c r="F1251" s="65"/>
      <c r="G1251" s="10">
        <v>632</v>
      </c>
      <c r="H1251" s="11" t="s">
        <v>135</v>
      </c>
      <c r="I1251" s="66">
        <f>300+700</f>
        <v>1000</v>
      </c>
      <c r="J1251" s="66"/>
      <c r="K1251" s="66">
        <f t="shared" si="202"/>
        <v>1000</v>
      </c>
      <c r="L1251" s="66"/>
      <c r="M1251" s="66"/>
      <c r="N1251" s="66"/>
      <c r="O1251" s="66">
        <f t="shared" si="203"/>
        <v>0</v>
      </c>
      <c r="P1251" s="67"/>
      <c r="Q1251" s="68">
        <f t="shared" si="199"/>
        <v>1000</v>
      </c>
      <c r="R1251" s="68">
        <f t="shared" si="200"/>
        <v>0</v>
      </c>
      <c r="S1251" s="68">
        <f t="shared" si="201"/>
        <v>1000</v>
      </c>
    </row>
    <row r="1252" spans="2:19" x14ac:dyDescent="0.2">
      <c r="B1252" s="48">
        <f t="shared" si="205"/>
        <v>755</v>
      </c>
      <c r="C1252" s="11"/>
      <c r="D1252" s="11"/>
      <c r="E1252" s="11"/>
      <c r="F1252" s="65"/>
      <c r="G1252" s="10">
        <v>633</v>
      </c>
      <c r="H1252" s="11" t="s">
        <v>126</v>
      </c>
      <c r="I1252" s="66">
        <f>500+900+2100+500+500</f>
        <v>4500</v>
      </c>
      <c r="J1252" s="66"/>
      <c r="K1252" s="66">
        <f t="shared" si="202"/>
        <v>4500</v>
      </c>
      <c r="L1252" s="66"/>
      <c r="M1252" s="66"/>
      <c r="N1252" s="66"/>
      <c r="O1252" s="66">
        <f t="shared" si="203"/>
        <v>0</v>
      </c>
      <c r="P1252" s="67"/>
      <c r="Q1252" s="68">
        <f t="shared" si="199"/>
        <v>4500</v>
      </c>
      <c r="R1252" s="68">
        <f t="shared" si="200"/>
        <v>0</v>
      </c>
      <c r="S1252" s="68">
        <f t="shared" si="201"/>
        <v>4500</v>
      </c>
    </row>
    <row r="1253" spans="2:19" x14ac:dyDescent="0.2">
      <c r="B1253" s="48">
        <f t="shared" si="205"/>
        <v>756</v>
      </c>
      <c r="C1253" s="11"/>
      <c r="D1253" s="11"/>
      <c r="E1253" s="11"/>
      <c r="F1253" s="65"/>
      <c r="G1253" s="10">
        <v>634</v>
      </c>
      <c r="H1253" s="11" t="s">
        <v>133</v>
      </c>
      <c r="I1253" s="66">
        <f>2000+2000+800</f>
        <v>4800</v>
      </c>
      <c r="J1253" s="66"/>
      <c r="K1253" s="66">
        <f t="shared" si="202"/>
        <v>4800</v>
      </c>
      <c r="L1253" s="66"/>
      <c r="M1253" s="66"/>
      <c r="N1253" s="66"/>
      <c r="O1253" s="66">
        <f t="shared" si="203"/>
        <v>0</v>
      </c>
      <c r="P1253" s="67"/>
      <c r="Q1253" s="68">
        <f t="shared" si="199"/>
        <v>4800</v>
      </c>
      <c r="R1253" s="68">
        <f t="shared" si="200"/>
        <v>0</v>
      </c>
      <c r="S1253" s="68">
        <f t="shared" si="201"/>
        <v>4800</v>
      </c>
    </row>
    <row r="1254" spans="2:19" x14ac:dyDescent="0.2">
      <c r="B1254" s="48">
        <f t="shared" si="205"/>
        <v>757</v>
      </c>
      <c r="C1254" s="11"/>
      <c r="D1254" s="11"/>
      <c r="E1254" s="11"/>
      <c r="F1254" s="65"/>
      <c r="G1254" s="10">
        <v>635</v>
      </c>
      <c r="H1254" s="11" t="s">
        <v>134</v>
      </c>
      <c r="I1254" s="66">
        <f>300+80000</f>
        <v>80300</v>
      </c>
      <c r="J1254" s="66"/>
      <c r="K1254" s="66">
        <f t="shared" si="202"/>
        <v>80300</v>
      </c>
      <c r="L1254" s="66"/>
      <c r="M1254" s="66"/>
      <c r="N1254" s="66"/>
      <c r="O1254" s="66">
        <f t="shared" si="203"/>
        <v>0</v>
      </c>
      <c r="P1254" s="67"/>
      <c r="Q1254" s="68">
        <f t="shared" si="199"/>
        <v>80300</v>
      </c>
      <c r="R1254" s="68">
        <f t="shared" si="200"/>
        <v>0</v>
      </c>
      <c r="S1254" s="68">
        <f t="shared" si="201"/>
        <v>80300</v>
      </c>
    </row>
    <row r="1255" spans="2:19" x14ac:dyDescent="0.2">
      <c r="B1255" s="48">
        <f t="shared" si="205"/>
        <v>758</v>
      </c>
      <c r="C1255" s="11"/>
      <c r="D1255" s="11"/>
      <c r="E1255" s="11"/>
      <c r="F1255" s="65"/>
      <c r="G1255" s="10">
        <v>636</v>
      </c>
      <c r="H1255" s="11" t="s">
        <v>127</v>
      </c>
      <c r="I1255" s="66">
        <f>7000+280</f>
        <v>7280</v>
      </c>
      <c r="J1255" s="66"/>
      <c r="K1255" s="66">
        <f t="shared" si="202"/>
        <v>7280</v>
      </c>
      <c r="L1255" s="66"/>
      <c r="M1255" s="66"/>
      <c r="N1255" s="66"/>
      <c r="O1255" s="66">
        <f t="shared" si="203"/>
        <v>0</v>
      </c>
      <c r="P1255" s="67"/>
      <c r="Q1255" s="68">
        <f t="shared" si="199"/>
        <v>7280</v>
      </c>
      <c r="R1255" s="68">
        <f t="shared" si="200"/>
        <v>0</v>
      </c>
      <c r="S1255" s="68">
        <f t="shared" si="201"/>
        <v>7280</v>
      </c>
    </row>
    <row r="1256" spans="2:19" x14ac:dyDescent="0.2">
      <c r="B1256" s="48">
        <f t="shared" si="205"/>
        <v>759</v>
      </c>
      <c r="C1256" s="201"/>
      <c r="D1256" s="201"/>
      <c r="E1256" s="201"/>
      <c r="F1256" s="202"/>
      <c r="G1256" s="203">
        <v>637</v>
      </c>
      <c r="H1256" s="201" t="s">
        <v>123</v>
      </c>
      <c r="I1256" s="204">
        <f>400+7525+12000+54725+4320+720+2125+4800</f>
        <v>86615</v>
      </c>
      <c r="J1256" s="204"/>
      <c r="K1256" s="204">
        <f t="shared" si="202"/>
        <v>86615</v>
      </c>
      <c r="L1256" s="204"/>
      <c r="M1256" s="204"/>
      <c r="N1256" s="204"/>
      <c r="O1256" s="204">
        <f t="shared" si="203"/>
        <v>0</v>
      </c>
      <c r="P1256" s="67"/>
      <c r="Q1256" s="68">
        <f t="shared" si="199"/>
        <v>86615</v>
      </c>
      <c r="R1256" s="68">
        <f t="shared" si="200"/>
        <v>0</v>
      </c>
      <c r="S1256" s="68">
        <f t="shared" si="201"/>
        <v>86615</v>
      </c>
    </row>
    <row r="1257" spans="2:19" x14ac:dyDescent="0.2">
      <c r="B1257" s="48">
        <f t="shared" si="205"/>
        <v>760</v>
      </c>
      <c r="C1257" s="205"/>
      <c r="D1257" s="205"/>
      <c r="E1257" s="205"/>
      <c r="F1257" s="206" t="s">
        <v>73</v>
      </c>
      <c r="G1257" s="207">
        <v>640</v>
      </c>
      <c r="H1257" s="205" t="s">
        <v>130</v>
      </c>
      <c r="I1257" s="208">
        <f>2354+4190+450</f>
        <v>6994</v>
      </c>
      <c r="J1257" s="208"/>
      <c r="K1257" s="208">
        <f t="shared" si="202"/>
        <v>6994</v>
      </c>
      <c r="L1257" s="208"/>
      <c r="M1257" s="208"/>
      <c r="N1257" s="208"/>
      <c r="O1257" s="208">
        <f t="shared" si="203"/>
        <v>0</v>
      </c>
      <c r="P1257" s="209"/>
      <c r="Q1257" s="210">
        <f t="shared" si="199"/>
        <v>6994</v>
      </c>
      <c r="R1257" s="210">
        <f t="shared" si="200"/>
        <v>0</v>
      </c>
      <c r="S1257" s="210">
        <f t="shared" si="201"/>
        <v>6994</v>
      </c>
    </row>
    <row r="1259" spans="2:19" x14ac:dyDescent="0.2">
      <c r="B1259" s="1"/>
      <c r="F1259" s="1"/>
      <c r="G1259" s="1"/>
      <c r="I1259" s="1"/>
      <c r="J1259" s="1"/>
      <c r="K1259" s="1"/>
      <c r="L1259" s="1"/>
      <c r="M1259" s="1"/>
      <c r="N1259" s="1"/>
      <c r="O1259" s="1"/>
      <c r="P1259" s="1"/>
      <c r="Q1259" s="1"/>
    </row>
    <row r="1260" spans="2:19" x14ac:dyDescent="0.2">
      <c r="B1260" s="1"/>
      <c r="F1260" s="1"/>
      <c r="G1260" s="1"/>
      <c r="I1260" s="1"/>
      <c r="J1260" s="1"/>
      <c r="K1260" s="1"/>
      <c r="L1260" s="1"/>
      <c r="M1260" s="1"/>
      <c r="N1260" s="1"/>
      <c r="O1260" s="1"/>
      <c r="P1260" s="1"/>
      <c r="Q1260" s="1"/>
    </row>
    <row r="1261" spans="2:19" ht="27.75" x14ac:dyDescent="0.4">
      <c r="B1261" s="429" t="s">
        <v>413</v>
      </c>
      <c r="C1261" s="430"/>
      <c r="D1261" s="430"/>
      <c r="E1261" s="430"/>
      <c r="F1261" s="430"/>
      <c r="G1261" s="430"/>
      <c r="H1261" s="430"/>
      <c r="I1261" s="430"/>
      <c r="J1261" s="430"/>
      <c r="K1261" s="430"/>
      <c r="L1261" s="430"/>
      <c r="M1261" s="430"/>
      <c r="N1261" s="430"/>
      <c r="O1261" s="430"/>
      <c r="P1261" s="430"/>
      <c r="Q1261" s="430"/>
    </row>
    <row r="1262" spans="2:19" ht="12.75" customHeight="1" x14ac:dyDescent="0.2">
      <c r="B1262" s="459" t="s">
        <v>422</v>
      </c>
      <c r="C1262" s="459"/>
      <c r="D1262" s="459"/>
      <c r="E1262" s="459"/>
      <c r="F1262" s="459"/>
      <c r="G1262" s="459"/>
      <c r="H1262" s="459"/>
      <c r="I1262" s="459"/>
      <c r="J1262" s="459"/>
      <c r="K1262" s="459"/>
      <c r="L1262" s="459"/>
      <c r="M1262" s="459"/>
      <c r="N1262" s="459"/>
      <c r="O1262" s="459"/>
      <c r="P1262" s="390"/>
      <c r="Q1262" s="408" t="s">
        <v>595</v>
      </c>
      <c r="R1262" s="408" t="s">
        <v>591</v>
      </c>
      <c r="S1262" s="408" t="s">
        <v>566</v>
      </c>
    </row>
    <row r="1263" spans="2:19" ht="12.75" customHeight="1" x14ac:dyDescent="0.2">
      <c r="B1263" s="458"/>
      <c r="C1263" s="437" t="s">
        <v>115</v>
      </c>
      <c r="D1263" s="437" t="s">
        <v>116</v>
      </c>
      <c r="E1263" s="452"/>
      <c r="F1263" s="437" t="s">
        <v>117</v>
      </c>
      <c r="G1263" s="443" t="s">
        <v>118</v>
      </c>
      <c r="H1263" s="449" t="s">
        <v>119</v>
      </c>
      <c r="I1263" s="408" t="s">
        <v>593</v>
      </c>
      <c r="J1263" s="408" t="s">
        <v>591</v>
      </c>
      <c r="K1263" s="408" t="s">
        <v>566</v>
      </c>
      <c r="L1263" s="391"/>
      <c r="M1263" s="408" t="s">
        <v>594</v>
      </c>
      <c r="N1263" s="408" t="s">
        <v>591</v>
      </c>
      <c r="O1263" s="408" t="s">
        <v>566</v>
      </c>
      <c r="P1263" s="391"/>
      <c r="Q1263" s="408"/>
      <c r="R1263" s="408"/>
      <c r="S1263" s="408"/>
    </row>
    <row r="1264" spans="2:19" x14ac:dyDescent="0.2">
      <c r="B1264" s="458"/>
      <c r="C1264" s="437"/>
      <c r="D1264" s="437"/>
      <c r="E1264" s="452"/>
      <c r="F1264" s="437"/>
      <c r="G1264" s="443"/>
      <c r="H1264" s="449"/>
      <c r="I1264" s="408"/>
      <c r="J1264" s="408"/>
      <c r="K1264" s="408"/>
      <c r="L1264" s="391"/>
      <c r="M1264" s="408"/>
      <c r="N1264" s="408"/>
      <c r="O1264" s="408"/>
      <c r="P1264" s="391"/>
      <c r="Q1264" s="408"/>
      <c r="R1264" s="408"/>
      <c r="S1264" s="408"/>
    </row>
    <row r="1265" spans="2:19" x14ac:dyDescent="0.2">
      <c r="B1265" s="458"/>
      <c r="C1265" s="437"/>
      <c r="D1265" s="437"/>
      <c r="E1265" s="452"/>
      <c r="F1265" s="437"/>
      <c r="G1265" s="443"/>
      <c r="H1265" s="449"/>
      <c r="I1265" s="408"/>
      <c r="J1265" s="408"/>
      <c r="K1265" s="408"/>
      <c r="L1265" s="391"/>
      <c r="M1265" s="408"/>
      <c r="N1265" s="408"/>
      <c r="O1265" s="408"/>
      <c r="P1265" s="391"/>
      <c r="Q1265" s="408"/>
      <c r="R1265" s="408"/>
      <c r="S1265" s="408"/>
    </row>
    <row r="1266" spans="2:19" x14ac:dyDescent="0.2">
      <c r="B1266" s="458"/>
      <c r="C1266" s="437"/>
      <c r="D1266" s="437"/>
      <c r="E1266" s="452"/>
      <c r="F1266" s="437"/>
      <c r="G1266" s="443"/>
      <c r="H1266" s="449"/>
      <c r="I1266" s="408"/>
      <c r="J1266" s="408"/>
      <c r="K1266" s="408"/>
      <c r="L1266" s="391"/>
      <c r="M1266" s="408"/>
      <c r="N1266" s="408"/>
      <c r="O1266" s="408"/>
      <c r="P1266" s="391"/>
      <c r="Q1266" s="408"/>
      <c r="R1266" s="408"/>
      <c r="S1266" s="408"/>
    </row>
    <row r="1267" spans="2:19" ht="15.75" x14ac:dyDescent="0.2">
      <c r="B1267" s="48">
        <v>1</v>
      </c>
      <c r="C1267" s="453" t="s">
        <v>413</v>
      </c>
      <c r="D1267" s="454"/>
      <c r="E1267" s="454"/>
      <c r="F1267" s="454"/>
      <c r="G1267" s="454"/>
      <c r="H1267" s="454"/>
      <c r="I1267" s="49">
        <f>I1268+I1271+I1285+I1346</f>
        <v>3088445</v>
      </c>
      <c r="J1267" s="49">
        <f>J1268+J1271+J1285+J1346</f>
        <v>15500</v>
      </c>
      <c r="K1267" s="49">
        <f>I1267+J1267</f>
        <v>3103945</v>
      </c>
      <c r="L1267" s="394"/>
      <c r="M1267" s="49">
        <f>M1346+M1285+M1271+M1268</f>
        <v>49738317</v>
      </c>
      <c r="N1267" s="49">
        <f>N1346+N1285+N1271+N1268</f>
        <v>-234700</v>
      </c>
      <c r="O1267" s="49">
        <f>M1267+N1267</f>
        <v>49503617</v>
      </c>
      <c r="P1267" s="392"/>
      <c r="Q1267" s="50">
        <f t="shared" ref="Q1267:Q1305" si="206">I1267+M1267</f>
        <v>52826762</v>
      </c>
      <c r="R1267" s="50">
        <f t="shared" ref="R1267:R1305" si="207">J1267+N1267</f>
        <v>-219200</v>
      </c>
      <c r="S1267" s="50">
        <f t="shared" ref="S1267:S1305" si="208">K1267+O1267</f>
        <v>52607562</v>
      </c>
    </row>
    <row r="1268" spans="2:19" ht="15" x14ac:dyDescent="0.2">
      <c r="B1268" s="48">
        <f t="shared" ref="B1268:B1337" si="209">B1267+1</f>
        <v>2</v>
      </c>
      <c r="C1268" s="51">
        <v>1</v>
      </c>
      <c r="D1268" s="435" t="s">
        <v>228</v>
      </c>
      <c r="E1268" s="436"/>
      <c r="F1268" s="436"/>
      <c r="G1268" s="436"/>
      <c r="H1268" s="436"/>
      <c r="I1268" s="52">
        <f>I1269</f>
        <v>5415</v>
      </c>
      <c r="J1268" s="52">
        <f>J1269</f>
        <v>0</v>
      </c>
      <c r="K1268" s="52">
        <f t="shared" ref="K1268:K1347" si="210">I1268+J1268</f>
        <v>5415</v>
      </c>
      <c r="L1268" s="53"/>
      <c r="M1268" s="52"/>
      <c r="N1268" s="52"/>
      <c r="O1268" s="52">
        <f t="shared" ref="O1268:O1347" si="211">M1268+N1268</f>
        <v>0</v>
      </c>
      <c r="P1268" s="54"/>
      <c r="Q1268" s="72">
        <f t="shared" si="206"/>
        <v>5415</v>
      </c>
      <c r="R1268" s="72">
        <f t="shared" si="207"/>
        <v>0</v>
      </c>
      <c r="S1268" s="72">
        <f t="shared" si="208"/>
        <v>5415</v>
      </c>
    </row>
    <row r="1269" spans="2:19" x14ac:dyDescent="0.2">
      <c r="B1269" s="48">
        <f t="shared" si="209"/>
        <v>3</v>
      </c>
      <c r="C1269" s="9"/>
      <c r="D1269" s="9"/>
      <c r="E1269" s="9"/>
      <c r="F1269" s="61" t="s">
        <v>180</v>
      </c>
      <c r="G1269" s="8">
        <v>630</v>
      </c>
      <c r="H1269" s="9" t="s">
        <v>122</v>
      </c>
      <c r="I1269" s="62">
        <f>I1270</f>
        <v>5415</v>
      </c>
      <c r="J1269" s="62">
        <f>J1270</f>
        <v>0</v>
      </c>
      <c r="K1269" s="62">
        <f t="shared" si="210"/>
        <v>5415</v>
      </c>
      <c r="L1269" s="62"/>
      <c r="M1269" s="62"/>
      <c r="N1269" s="62"/>
      <c r="O1269" s="62">
        <f t="shared" si="211"/>
        <v>0</v>
      </c>
      <c r="P1269" s="63"/>
      <c r="Q1269" s="64">
        <f t="shared" si="206"/>
        <v>5415</v>
      </c>
      <c r="R1269" s="64">
        <f t="shared" si="207"/>
        <v>0</v>
      </c>
      <c r="S1269" s="64">
        <f t="shared" si="208"/>
        <v>5415</v>
      </c>
    </row>
    <row r="1270" spans="2:19" x14ac:dyDescent="0.2">
      <c r="B1270" s="48">
        <f t="shared" si="209"/>
        <v>4</v>
      </c>
      <c r="C1270" s="11"/>
      <c r="D1270" s="11"/>
      <c r="E1270" s="11"/>
      <c r="F1270" s="65"/>
      <c r="G1270" s="10">
        <v>637</v>
      </c>
      <c r="H1270" s="11" t="s">
        <v>123</v>
      </c>
      <c r="I1270" s="66">
        <v>5415</v>
      </c>
      <c r="J1270" s="66"/>
      <c r="K1270" s="66">
        <f t="shared" si="210"/>
        <v>5415</v>
      </c>
      <c r="L1270" s="66"/>
      <c r="M1270" s="66"/>
      <c r="N1270" s="66"/>
      <c r="O1270" s="66">
        <f t="shared" si="211"/>
        <v>0</v>
      </c>
      <c r="P1270" s="67"/>
      <c r="Q1270" s="68">
        <f t="shared" si="206"/>
        <v>5415</v>
      </c>
      <c r="R1270" s="68">
        <f t="shared" si="207"/>
        <v>0</v>
      </c>
      <c r="S1270" s="68">
        <f t="shared" si="208"/>
        <v>5415</v>
      </c>
    </row>
    <row r="1271" spans="2:19" ht="15" x14ac:dyDescent="0.2">
      <c r="B1271" s="48">
        <f t="shared" si="209"/>
        <v>5</v>
      </c>
      <c r="C1271" s="51">
        <v>2</v>
      </c>
      <c r="D1271" s="435" t="s">
        <v>371</v>
      </c>
      <c r="E1271" s="436"/>
      <c r="F1271" s="436"/>
      <c r="G1271" s="436"/>
      <c r="H1271" s="436"/>
      <c r="I1271" s="52">
        <f>I1272</f>
        <v>215000</v>
      </c>
      <c r="J1271" s="52">
        <f>J1272</f>
        <v>0</v>
      </c>
      <c r="K1271" s="52">
        <f t="shared" si="210"/>
        <v>215000</v>
      </c>
      <c r="L1271" s="53"/>
      <c r="M1271" s="52"/>
      <c r="N1271" s="52"/>
      <c r="O1271" s="52">
        <f t="shared" si="211"/>
        <v>0</v>
      </c>
      <c r="P1271" s="54"/>
      <c r="Q1271" s="72">
        <f t="shared" si="206"/>
        <v>215000</v>
      </c>
      <c r="R1271" s="72">
        <f t="shared" si="207"/>
        <v>0</v>
      </c>
      <c r="S1271" s="72">
        <f t="shared" si="208"/>
        <v>215000</v>
      </c>
    </row>
    <row r="1272" spans="2:19" x14ac:dyDescent="0.2">
      <c r="B1272" s="48">
        <f t="shared" si="209"/>
        <v>6</v>
      </c>
      <c r="C1272" s="9"/>
      <c r="D1272" s="9"/>
      <c r="E1272" s="9"/>
      <c r="F1272" s="61" t="s">
        <v>180</v>
      </c>
      <c r="G1272" s="8">
        <v>640</v>
      </c>
      <c r="H1272" s="9" t="s">
        <v>130</v>
      </c>
      <c r="I1272" s="62">
        <f>SUM(I1273:I1284)</f>
        <v>215000</v>
      </c>
      <c r="J1272" s="62">
        <f>SUM(J1273:J1284)</f>
        <v>0</v>
      </c>
      <c r="K1272" s="62">
        <f t="shared" si="210"/>
        <v>215000</v>
      </c>
      <c r="L1272" s="62"/>
      <c r="M1272" s="62"/>
      <c r="N1272" s="62"/>
      <c r="O1272" s="62">
        <f t="shared" si="211"/>
        <v>0</v>
      </c>
      <c r="P1272" s="63"/>
      <c r="Q1272" s="64">
        <f t="shared" si="206"/>
        <v>215000</v>
      </c>
      <c r="R1272" s="64">
        <f t="shared" si="207"/>
        <v>0</v>
      </c>
      <c r="S1272" s="64">
        <f t="shared" si="208"/>
        <v>215000</v>
      </c>
    </row>
    <row r="1273" spans="2:19" x14ac:dyDescent="0.2">
      <c r="B1273" s="48">
        <f t="shared" si="209"/>
        <v>7</v>
      </c>
      <c r="C1273" s="81"/>
      <c r="D1273" s="81"/>
      <c r="E1273" s="81"/>
      <c r="F1273" s="12"/>
      <c r="G1273" s="12"/>
      <c r="H1273" s="13" t="s">
        <v>473</v>
      </c>
      <c r="I1273" s="83">
        <f>40000-3553</f>
        <v>36447</v>
      </c>
      <c r="J1273" s="83"/>
      <c r="K1273" s="83">
        <f t="shared" si="210"/>
        <v>36447</v>
      </c>
      <c r="L1273" s="211"/>
      <c r="M1273" s="211"/>
      <c r="N1273" s="211"/>
      <c r="O1273" s="211">
        <f t="shared" si="211"/>
        <v>0</v>
      </c>
      <c r="P1273" s="84"/>
      <c r="Q1273" s="85">
        <f t="shared" si="206"/>
        <v>36447</v>
      </c>
      <c r="R1273" s="85">
        <f t="shared" si="207"/>
        <v>0</v>
      </c>
      <c r="S1273" s="85">
        <f t="shared" si="208"/>
        <v>36447</v>
      </c>
    </row>
    <row r="1274" spans="2:19" x14ac:dyDescent="0.2">
      <c r="B1274" s="48">
        <f t="shared" si="209"/>
        <v>8</v>
      </c>
      <c r="C1274" s="81"/>
      <c r="D1274" s="81"/>
      <c r="E1274" s="81"/>
      <c r="F1274" s="12"/>
      <c r="G1274" s="12"/>
      <c r="H1274" s="13" t="s">
        <v>472</v>
      </c>
      <c r="I1274" s="83">
        <f>35000-500</f>
        <v>34500</v>
      </c>
      <c r="J1274" s="83"/>
      <c r="K1274" s="83">
        <f t="shared" si="210"/>
        <v>34500</v>
      </c>
      <c r="L1274" s="211"/>
      <c r="M1274" s="211"/>
      <c r="N1274" s="211"/>
      <c r="O1274" s="211">
        <f t="shared" si="211"/>
        <v>0</v>
      </c>
      <c r="P1274" s="84"/>
      <c r="Q1274" s="85">
        <f t="shared" si="206"/>
        <v>34500</v>
      </c>
      <c r="R1274" s="85">
        <f t="shared" si="207"/>
        <v>0</v>
      </c>
      <c r="S1274" s="85">
        <f t="shared" si="208"/>
        <v>34500</v>
      </c>
    </row>
    <row r="1275" spans="2:19" x14ac:dyDescent="0.2">
      <c r="B1275" s="48">
        <f t="shared" si="209"/>
        <v>9</v>
      </c>
      <c r="C1275" s="81"/>
      <c r="D1275" s="81"/>
      <c r="E1275" s="81"/>
      <c r="F1275" s="12"/>
      <c r="G1275" s="12"/>
      <c r="H1275" s="13" t="s">
        <v>657</v>
      </c>
      <c r="I1275" s="83">
        <v>3553</v>
      </c>
      <c r="J1275" s="83"/>
      <c r="K1275" s="83">
        <f t="shared" si="210"/>
        <v>3553</v>
      </c>
      <c r="L1275" s="211"/>
      <c r="M1275" s="211"/>
      <c r="N1275" s="211"/>
      <c r="O1275" s="211"/>
      <c r="P1275" s="84"/>
      <c r="Q1275" s="85">
        <f t="shared" ref="Q1275:Q1282" si="212">I1275+M1275</f>
        <v>3553</v>
      </c>
      <c r="R1275" s="85">
        <f t="shared" ref="R1275:R1282" si="213">J1275+N1275</f>
        <v>0</v>
      </c>
      <c r="S1275" s="85">
        <f t="shared" ref="S1275:S1282" si="214">K1275+O1275</f>
        <v>3553</v>
      </c>
    </row>
    <row r="1276" spans="2:19" s="79" customFormat="1" x14ac:dyDescent="0.2">
      <c r="B1276" s="48">
        <f t="shared" si="209"/>
        <v>10</v>
      </c>
      <c r="C1276" s="73"/>
      <c r="D1276" s="73"/>
      <c r="E1276" s="73"/>
      <c r="F1276" s="212"/>
      <c r="G1276" s="212"/>
      <c r="H1276" s="75" t="s">
        <v>658</v>
      </c>
      <c r="I1276" s="76">
        <v>40000</v>
      </c>
      <c r="J1276" s="76"/>
      <c r="K1276" s="76">
        <f t="shared" si="210"/>
        <v>40000</v>
      </c>
      <c r="L1276" s="213"/>
      <c r="M1276" s="213"/>
      <c r="N1276" s="213"/>
      <c r="O1276" s="213"/>
      <c r="P1276" s="77"/>
      <c r="Q1276" s="78">
        <f t="shared" si="212"/>
        <v>40000</v>
      </c>
      <c r="R1276" s="78">
        <f t="shared" si="213"/>
        <v>0</v>
      </c>
      <c r="S1276" s="78">
        <f t="shared" si="214"/>
        <v>40000</v>
      </c>
    </row>
    <row r="1277" spans="2:19" s="79" customFormat="1" x14ac:dyDescent="0.2">
      <c r="B1277" s="48">
        <f t="shared" si="209"/>
        <v>11</v>
      </c>
      <c r="C1277" s="73"/>
      <c r="D1277" s="73"/>
      <c r="E1277" s="73"/>
      <c r="F1277" s="212"/>
      <c r="G1277" s="212"/>
      <c r="H1277" s="75" t="s">
        <v>662</v>
      </c>
      <c r="I1277" s="76">
        <v>17000</v>
      </c>
      <c r="J1277" s="76"/>
      <c r="K1277" s="76">
        <f t="shared" si="210"/>
        <v>17000</v>
      </c>
      <c r="L1277" s="213"/>
      <c r="M1277" s="213"/>
      <c r="N1277" s="213"/>
      <c r="O1277" s="213"/>
      <c r="P1277" s="77"/>
      <c r="Q1277" s="78">
        <f t="shared" si="212"/>
        <v>17000</v>
      </c>
      <c r="R1277" s="78">
        <f t="shared" si="213"/>
        <v>0</v>
      </c>
      <c r="S1277" s="78">
        <f t="shared" si="214"/>
        <v>17000</v>
      </c>
    </row>
    <row r="1278" spans="2:19" s="79" customFormat="1" x14ac:dyDescent="0.2">
      <c r="B1278" s="48">
        <f t="shared" si="209"/>
        <v>12</v>
      </c>
      <c r="C1278" s="73"/>
      <c r="D1278" s="73"/>
      <c r="E1278" s="73"/>
      <c r="F1278" s="212"/>
      <c r="G1278" s="212"/>
      <c r="H1278" s="75" t="s">
        <v>661</v>
      </c>
      <c r="I1278" s="76">
        <v>15000</v>
      </c>
      <c r="J1278" s="76"/>
      <c r="K1278" s="76">
        <f t="shared" si="210"/>
        <v>15000</v>
      </c>
      <c r="L1278" s="213"/>
      <c r="M1278" s="213"/>
      <c r="N1278" s="213"/>
      <c r="O1278" s="213"/>
      <c r="P1278" s="77"/>
      <c r="Q1278" s="78">
        <f t="shared" si="212"/>
        <v>15000</v>
      </c>
      <c r="R1278" s="78">
        <f t="shared" si="213"/>
        <v>0</v>
      </c>
      <c r="S1278" s="78">
        <f t="shared" si="214"/>
        <v>15000</v>
      </c>
    </row>
    <row r="1279" spans="2:19" s="79" customFormat="1" ht="24" x14ac:dyDescent="0.2">
      <c r="B1279" s="48">
        <f t="shared" si="209"/>
        <v>13</v>
      </c>
      <c r="C1279" s="73"/>
      <c r="D1279" s="73"/>
      <c r="E1279" s="73"/>
      <c r="F1279" s="212"/>
      <c r="G1279" s="212"/>
      <c r="H1279" s="75" t="s">
        <v>663</v>
      </c>
      <c r="I1279" s="76">
        <v>5000</v>
      </c>
      <c r="J1279" s="76"/>
      <c r="K1279" s="76">
        <f t="shared" si="210"/>
        <v>5000</v>
      </c>
      <c r="L1279" s="213"/>
      <c r="M1279" s="213"/>
      <c r="N1279" s="213"/>
      <c r="O1279" s="213"/>
      <c r="P1279" s="77"/>
      <c r="Q1279" s="78">
        <f t="shared" si="212"/>
        <v>5000</v>
      </c>
      <c r="R1279" s="78">
        <f t="shared" si="213"/>
        <v>0</v>
      </c>
      <c r="S1279" s="78">
        <f t="shared" si="214"/>
        <v>5000</v>
      </c>
    </row>
    <row r="1280" spans="2:19" s="79" customFormat="1" x14ac:dyDescent="0.2">
      <c r="B1280" s="48">
        <f t="shared" si="209"/>
        <v>14</v>
      </c>
      <c r="C1280" s="73"/>
      <c r="D1280" s="73"/>
      <c r="E1280" s="73"/>
      <c r="F1280" s="212"/>
      <c r="G1280" s="212"/>
      <c r="H1280" s="75" t="s">
        <v>659</v>
      </c>
      <c r="I1280" s="76">
        <v>38000</v>
      </c>
      <c r="J1280" s="76"/>
      <c r="K1280" s="76">
        <f t="shared" si="210"/>
        <v>38000</v>
      </c>
      <c r="L1280" s="213"/>
      <c r="M1280" s="213"/>
      <c r="N1280" s="213"/>
      <c r="O1280" s="213"/>
      <c r="P1280" s="77"/>
      <c r="Q1280" s="78">
        <f t="shared" si="212"/>
        <v>38000</v>
      </c>
      <c r="R1280" s="78">
        <f t="shared" si="213"/>
        <v>0</v>
      </c>
      <c r="S1280" s="78">
        <f t="shared" si="214"/>
        <v>38000</v>
      </c>
    </row>
    <row r="1281" spans="2:19" s="79" customFormat="1" ht="24" x14ac:dyDescent="0.2">
      <c r="B1281" s="48">
        <f t="shared" si="209"/>
        <v>15</v>
      </c>
      <c r="C1281" s="73"/>
      <c r="D1281" s="73"/>
      <c r="E1281" s="73"/>
      <c r="F1281" s="212"/>
      <c r="G1281" s="212"/>
      <c r="H1281" s="75" t="s">
        <v>646</v>
      </c>
      <c r="I1281" s="76">
        <v>500</v>
      </c>
      <c r="J1281" s="76"/>
      <c r="K1281" s="76">
        <f t="shared" si="210"/>
        <v>500</v>
      </c>
      <c r="L1281" s="213"/>
      <c r="M1281" s="213"/>
      <c r="N1281" s="213"/>
      <c r="O1281" s="213"/>
      <c r="P1281" s="77"/>
      <c r="Q1281" s="78">
        <f t="shared" si="212"/>
        <v>500</v>
      </c>
      <c r="R1281" s="78">
        <f t="shared" si="213"/>
        <v>0</v>
      </c>
      <c r="S1281" s="78">
        <f t="shared" si="214"/>
        <v>500</v>
      </c>
    </row>
    <row r="1282" spans="2:19" s="79" customFormat="1" ht="24" x14ac:dyDescent="0.2">
      <c r="B1282" s="48">
        <f t="shared" si="209"/>
        <v>16</v>
      </c>
      <c r="C1282" s="73"/>
      <c r="D1282" s="73"/>
      <c r="E1282" s="73"/>
      <c r="F1282" s="212"/>
      <c r="G1282" s="212"/>
      <c r="H1282" s="75" t="s">
        <v>660</v>
      </c>
      <c r="I1282" s="76">
        <v>5000</v>
      </c>
      <c r="J1282" s="76"/>
      <c r="K1282" s="76">
        <f t="shared" si="210"/>
        <v>5000</v>
      </c>
      <c r="L1282" s="213"/>
      <c r="M1282" s="213"/>
      <c r="N1282" s="213"/>
      <c r="O1282" s="213"/>
      <c r="P1282" s="77"/>
      <c r="Q1282" s="78">
        <f t="shared" si="212"/>
        <v>5000</v>
      </c>
      <c r="R1282" s="78">
        <f t="shared" si="213"/>
        <v>0</v>
      </c>
      <c r="S1282" s="78">
        <f t="shared" si="214"/>
        <v>5000</v>
      </c>
    </row>
    <row r="1283" spans="2:19" s="79" customFormat="1" x14ac:dyDescent="0.2">
      <c r="B1283" s="48">
        <f t="shared" si="209"/>
        <v>17</v>
      </c>
      <c r="C1283" s="73"/>
      <c r="D1283" s="73"/>
      <c r="E1283" s="73"/>
      <c r="F1283" s="212"/>
      <c r="G1283" s="212"/>
      <c r="H1283" s="75" t="s">
        <v>363</v>
      </c>
      <c r="I1283" s="76">
        <v>10000</v>
      </c>
      <c r="J1283" s="76"/>
      <c r="K1283" s="76">
        <f t="shared" si="210"/>
        <v>10000</v>
      </c>
      <c r="L1283" s="213"/>
      <c r="M1283" s="213"/>
      <c r="N1283" s="213"/>
      <c r="O1283" s="213">
        <f t="shared" si="211"/>
        <v>0</v>
      </c>
      <c r="P1283" s="77"/>
      <c r="Q1283" s="78">
        <f t="shared" si="206"/>
        <v>10000</v>
      </c>
      <c r="R1283" s="78">
        <f t="shared" si="207"/>
        <v>0</v>
      </c>
      <c r="S1283" s="78">
        <f t="shared" si="208"/>
        <v>10000</v>
      </c>
    </row>
    <row r="1284" spans="2:19" s="79" customFormat="1" ht="24" x14ac:dyDescent="0.2">
      <c r="B1284" s="48">
        <f t="shared" si="209"/>
        <v>18</v>
      </c>
      <c r="C1284" s="73"/>
      <c r="D1284" s="73"/>
      <c r="E1284" s="73"/>
      <c r="F1284" s="212"/>
      <c r="G1284" s="212"/>
      <c r="H1284" s="75" t="s">
        <v>273</v>
      </c>
      <c r="I1284" s="76">
        <v>10000</v>
      </c>
      <c r="J1284" s="76"/>
      <c r="K1284" s="76">
        <f t="shared" si="210"/>
        <v>10000</v>
      </c>
      <c r="L1284" s="213"/>
      <c r="M1284" s="213"/>
      <c r="N1284" s="213"/>
      <c r="O1284" s="213">
        <f t="shared" si="211"/>
        <v>0</v>
      </c>
      <c r="P1284" s="77"/>
      <c r="Q1284" s="78">
        <f t="shared" si="206"/>
        <v>10000</v>
      </c>
      <c r="R1284" s="78">
        <f t="shared" si="207"/>
        <v>0</v>
      </c>
      <c r="S1284" s="78">
        <f t="shared" si="208"/>
        <v>10000</v>
      </c>
    </row>
    <row r="1285" spans="2:19" s="164" customFormat="1" ht="15" x14ac:dyDescent="0.2">
      <c r="B1285" s="48">
        <f t="shared" si="209"/>
        <v>19</v>
      </c>
      <c r="C1285" s="51">
        <v>3</v>
      </c>
      <c r="D1285" s="435" t="s">
        <v>199</v>
      </c>
      <c r="E1285" s="436"/>
      <c r="F1285" s="436"/>
      <c r="G1285" s="436"/>
      <c r="H1285" s="436"/>
      <c r="I1285" s="52">
        <f>I1286+I1294+I1303+I1326+I1342</f>
        <v>2691815</v>
      </c>
      <c r="J1285" s="52">
        <f>J1286+J1294+J1303+J1326+J1342</f>
        <v>15500</v>
      </c>
      <c r="K1285" s="52">
        <f t="shared" si="210"/>
        <v>2707315</v>
      </c>
      <c r="L1285" s="53"/>
      <c r="M1285" s="52">
        <f>M1342+M1326+M1303+M1294+M1286</f>
        <v>13176775</v>
      </c>
      <c r="N1285" s="52">
        <f>N1342+N1326+N1303+N1294+N1286</f>
        <v>12800</v>
      </c>
      <c r="O1285" s="52">
        <f t="shared" si="211"/>
        <v>13189575</v>
      </c>
      <c r="P1285" s="54"/>
      <c r="Q1285" s="72">
        <f t="shared" si="206"/>
        <v>15868590</v>
      </c>
      <c r="R1285" s="72">
        <f t="shared" si="207"/>
        <v>28300</v>
      </c>
      <c r="S1285" s="72">
        <f t="shared" si="208"/>
        <v>15896890</v>
      </c>
    </row>
    <row r="1286" spans="2:19" ht="15" x14ac:dyDescent="0.25">
      <c r="B1286" s="48">
        <f t="shared" si="209"/>
        <v>20</v>
      </c>
      <c r="C1286" s="69"/>
      <c r="D1286" s="69">
        <v>1</v>
      </c>
      <c r="E1286" s="433" t="s">
        <v>198</v>
      </c>
      <c r="F1286" s="434"/>
      <c r="G1286" s="434"/>
      <c r="H1286" s="434"/>
      <c r="I1286" s="70">
        <f>I1287</f>
        <v>252480</v>
      </c>
      <c r="J1286" s="70">
        <f>J1287</f>
        <v>0</v>
      </c>
      <c r="K1286" s="70">
        <f t="shared" si="210"/>
        <v>252480</v>
      </c>
      <c r="L1286" s="58"/>
      <c r="M1286" s="70">
        <f>M1290</f>
        <v>1243630</v>
      </c>
      <c r="N1286" s="70">
        <f>N1290</f>
        <v>0</v>
      </c>
      <c r="O1286" s="70">
        <f t="shared" si="211"/>
        <v>1243630</v>
      </c>
      <c r="P1286" s="59"/>
      <c r="Q1286" s="71">
        <f t="shared" si="206"/>
        <v>1496110</v>
      </c>
      <c r="R1286" s="71">
        <f t="shared" si="207"/>
        <v>0</v>
      </c>
      <c r="S1286" s="71">
        <f t="shared" si="208"/>
        <v>1496110</v>
      </c>
    </row>
    <row r="1287" spans="2:19" x14ac:dyDescent="0.2">
      <c r="B1287" s="48">
        <f t="shared" si="209"/>
        <v>21</v>
      </c>
      <c r="C1287" s="9"/>
      <c r="D1287" s="9"/>
      <c r="E1287" s="9"/>
      <c r="F1287" s="61" t="s">
        <v>180</v>
      </c>
      <c r="G1287" s="8">
        <v>630</v>
      </c>
      <c r="H1287" s="9" t="s">
        <v>122</v>
      </c>
      <c r="I1287" s="62">
        <f>SUM(I1288:I1289)</f>
        <v>252480</v>
      </c>
      <c r="J1287" s="62">
        <f>SUM(J1288:J1289)</f>
        <v>0</v>
      </c>
      <c r="K1287" s="62">
        <f t="shared" si="210"/>
        <v>252480</v>
      </c>
      <c r="L1287" s="62"/>
      <c r="M1287" s="62"/>
      <c r="N1287" s="62"/>
      <c r="O1287" s="62">
        <f t="shared" si="211"/>
        <v>0</v>
      </c>
      <c r="P1287" s="63"/>
      <c r="Q1287" s="64">
        <f t="shared" si="206"/>
        <v>252480</v>
      </c>
      <c r="R1287" s="64">
        <f t="shared" si="207"/>
        <v>0</v>
      </c>
      <c r="S1287" s="64">
        <f t="shared" si="208"/>
        <v>252480</v>
      </c>
    </row>
    <row r="1288" spans="2:19" x14ac:dyDescent="0.2">
      <c r="B1288" s="48">
        <f t="shared" si="209"/>
        <v>22</v>
      </c>
      <c r="C1288" s="11"/>
      <c r="D1288" s="11"/>
      <c r="E1288" s="11"/>
      <c r="F1288" s="65"/>
      <c r="G1288" s="10">
        <v>636</v>
      </c>
      <c r="H1288" s="11" t="s">
        <v>127</v>
      </c>
      <c r="I1288" s="66">
        <v>250000</v>
      </c>
      <c r="J1288" s="66"/>
      <c r="K1288" s="66">
        <f t="shared" si="210"/>
        <v>250000</v>
      </c>
      <c r="L1288" s="66"/>
      <c r="M1288" s="66"/>
      <c r="N1288" s="66"/>
      <c r="O1288" s="66">
        <f t="shared" si="211"/>
        <v>0</v>
      </c>
      <c r="P1288" s="67"/>
      <c r="Q1288" s="68">
        <f t="shared" si="206"/>
        <v>250000</v>
      </c>
      <c r="R1288" s="68">
        <f t="shared" si="207"/>
        <v>0</v>
      </c>
      <c r="S1288" s="68">
        <f t="shared" si="208"/>
        <v>250000</v>
      </c>
    </row>
    <row r="1289" spans="2:19" x14ac:dyDescent="0.2">
      <c r="B1289" s="48">
        <f t="shared" si="209"/>
        <v>23</v>
      </c>
      <c r="C1289" s="11"/>
      <c r="D1289" s="11"/>
      <c r="E1289" s="11"/>
      <c r="F1289" s="65"/>
      <c r="G1289" s="10">
        <v>637</v>
      </c>
      <c r="H1289" s="11" t="s">
        <v>123</v>
      </c>
      <c r="I1289" s="66">
        <v>2480</v>
      </c>
      <c r="J1289" s="66"/>
      <c r="K1289" s="66">
        <f t="shared" si="210"/>
        <v>2480</v>
      </c>
      <c r="L1289" s="66"/>
      <c r="M1289" s="66"/>
      <c r="N1289" s="66"/>
      <c r="O1289" s="66">
        <f t="shared" si="211"/>
        <v>0</v>
      </c>
      <c r="P1289" s="67"/>
      <c r="Q1289" s="68">
        <f t="shared" si="206"/>
        <v>2480</v>
      </c>
      <c r="R1289" s="68">
        <f t="shared" si="207"/>
        <v>0</v>
      </c>
      <c r="S1289" s="68">
        <f t="shared" si="208"/>
        <v>2480</v>
      </c>
    </row>
    <row r="1290" spans="2:19" x14ac:dyDescent="0.2">
      <c r="B1290" s="48">
        <f t="shared" si="209"/>
        <v>24</v>
      </c>
      <c r="C1290" s="11"/>
      <c r="D1290" s="11"/>
      <c r="E1290" s="11"/>
      <c r="F1290" s="61" t="s">
        <v>180</v>
      </c>
      <c r="G1290" s="8">
        <v>710</v>
      </c>
      <c r="H1290" s="9" t="s">
        <v>176</v>
      </c>
      <c r="I1290" s="66"/>
      <c r="J1290" s="66"/>
      <c r="K1290" s="66">
        <f t="shared" si="210"/>
        <v>0</v>
      </c>
      <c r="L1290" s="66"/>
      <c r="M1290" s="62">
        <f>M1291</f>
        <v>1243630</v>
      </c>
      <c r="N1290" s="62">
        <f>N1291</f>
        <v>0</v>
      </c>
      <c r="O1290" s="62">
        <f t="shared" si="211"/>
        <v>1243630</v>
      </c>
      <c r="P1290" s="67"/>
      <c r="Q1290" s="64">
        <f t="shared" si="206"/>
        <v>1243630</v>
      </c>
      <c r="R1290" s="64">
        <f t="shared" si="207"/>
        <v>0</v>
      </c>
      <c r="S1290" s="64">
        <f t="shared" si="208"/>
        <v>1243630</v>
      </c>
    </row>
    <row r="1291" spans="2:19" x14ac:dyDescent="0.2">
      <c r="B1291" s="48">
        <f t="shared" si="209"/>
        <v>25</v>
      </c>
      <c r="C1291" s="11"/>
      <c r="D1291" s="11"/>
      <c r="E1291" s="11"/>
      <c r="F1291" s="65"/>
      <c r="G1291" s="10">
        <v>717</v>
      </c>
      <c r="H1291" s="11" t="s">
        <v>183</v>
      </c>
      <c r="I1291" s="66"/>
      <c r="J1291" s="66"/>
      <c r="K1291" s="66">
        <f t="shared" si="210"/>
        <v>0</v>
      </c>
      <c r="L1291" s="66"/>
      <c r="M1291" s="66">
        <f>M1292+M1293</f>
        <v>1243630</v>
      </c>
      <c r="N1291" s="66">
        <f>N1292+N1293</f>
        <v>0</v>
      </c>
      <c r="O1291" s="66">
        <f t="shared" si="211"/>
        <v>1243630</v>
      </c>
      <c r="P1291" s="67"/>
      <c r="Q1291" s="68">
        <f t="shared" si="206"/>
        <v>1243630</v>
      </c>
      <c r="R1291" s="68">
        <f t="shared" si="207"/>
        <v>0</v>
      </c>
      <c r="S1291" s="68">
        <f t="shared" si="208"/>
        <v>1243630</v>
      </c>
    </row>
    <row r="1292" spans="2:19" x14ac:dyDescent="0.2">
      <c r="B1292" s="48">
        <f t="shared" si="209"/>
        <v>26</v>
      </c>
      <c r="C1292" s="11"/>
      <c r="D1292" s="11"/>
      <c r="E1292" s="11"/>
      <c r="F1292" s="188"/>
      <c r="G1292" s="82"/>
      <c r="H1292" s="13" t="s">
        <v>517</v>
      </c>
      <c r="I1292" s="66"/>
      <c r="J1292" s="66"/>
      <c r="K1292" s="66">
        <f t="shared" si="210"/>
        <v>0</v>
      </c>
      <c r="L1292" s="66"/>
      <c r="M1292" s="83">
        <v>35000</v>
      </c>
      <c r="N1292" s="83"/>
      <c r="O1292" s="83">
        <f t="shared" si="211"/>
        <v>35000</v>
      </c>
      <c r="P1292" s="84"/>
      <c r="Q1292" s="85">
        <f t="shared" si="206"/>
        <v>35000</v>
      </c>
      <c r="R1292" s="85">
        <f t="shared" si="207"/>
        <v>0</v>
      </c>
      <c r="S1292" s="85">
        <f t="shared" si="208"/>
        <v>35000</v>
      </c>
    </row>
    <row r="1293" spans="2:19" x14ac:dyDescent="0.2">
      <c r="B1293" s="48">
        <f t="shared" si="209"/>
        <v>27</v>
      </c>
      <c r="C1293" s="11"/>
      <c r="D1293" s="11"/>
      <c r="E1293" s="11"/>
      <c r="F1293" s="188"/>
      <c r="G1293" s="82"/>
      <c r="H1293" s="13" t="s">
        <v>573</v>
      </c>
      <c r="I1293" s="66"/>
      <c r="J1293" s="66"/>
      <c r="K1293" s="66">
        <f t="shared" si="210"/>
        <v>0</v>
      </c>
      <c r="L1293" s="66"/>
      <c r="M1293" s="83">
        <v>1208630</v>
      </c>
      <c r="N1293" s="83"/>
      <c r="O1293" s="83">
        <f t="shared" si="211"/>
        <v>1208630</v>
      </c>
      <c r="P1293" s="84"/>
      <c r="Q1293" s="85">
        <f t="shared" si="206"/>
        <v>1208630</v>
      </c>
      <c r="R1293" s="85">
        <f t="shared" si="207"/>
        <v>0</v>
      </c>
      <c r="S1293" s="85">
        <f t="shared" si="208"/>
        <v>1208630</v>
      </c>
    </row>
    <row r="1294" spans="2:19" ht="15" x14ac:dyDescent="0.25">
      <c r="B1294" s="48">
        <f t="shared" si="209"/>
        <v>28</v>
      </c>
      <c r="C1294" s="69"/>
      <c r="D1294" s="69">
        <v>2</v>
      </c>
      <c r="E1294" s="433" t="s">
        <v>200</v>
      </c>
      <c r="F1294" s="434"/>
      <c r="G1294" s="434"/>
      <c r="H1294" s="434"/>
      <c r="I1294" s="70">
        <f>I1295</f>
        <v>528050</v>
      </c>
      <c r="J1294" s="70">
        <f>J1295</f>
        <v>12800</v>
      </c>
      <c r="K1294" s="70">
        <f t="shared" si="210"/>
        <v>540850</v>
      </c>
      <c r="L1294" s="58"/>
      <c r="M1294" s="70"/>
      <c r="N1294" s="70">
        <f>N1300</f>
        <v>12800</v>
      </c>
      <c r="O1294" s="70">
        <f t="shared" si="211"/>
        <v>12800</v>
      </c>
      <c r="P1294" s="59"/>
      <c r="Q1294" s="71">
        <f t="shared" si="206"/>
        <v>528050</v>
      </c>
      <c r="R1294" s="71">
        <f t="shared" si="207"/>
        <v>25600</v>
      </c>
      <c r="S1294" s="71">
        <f t="shared" si="208"/>
        <v>553650</v>
      </c>
    </row>
    <row r="1295" spans="2:19" x14ac:dyDescent="0.2">
      <c r="B1295" s="48">
        <f t="shared" si="209"/>
        <v>29</v>
      </c>
      <c r="C1295" s="9"/>
      <c r="D1295" s="9"/>
      <c r="E1295" s="9"/>
      <c r="F1295" s="61" t="s">
        <v>180</v>
      </c>
      <c r="G1295" s="8">
        <v>630</v>
      </c>
      <c r="H1295" s="9" t="s">
        <v>122</v>
      </c>
      <c r="I1295" s="62">
        <f>SUM(I1296:I1299)</f>
        <v>528050</v>
      </c>
      <c r="J1295" s="62">
        <f>SUM(J1296:J1299)</f>
        <v>12800</v>
      </c>
      <c r="K1295" s="62">
        <f t="shared" si="210"/>
        <v>540850</v>
      </c>
      <c r="L1295" s="62"/>
      <c r="M1295" s="62"/>
      <c r="N1295" s="62"/>
      <c r="O1295" s="62">
        <f t="shared" si="211"/>
        <v>0</v>
      </c>
      <c r="P1295" s="63"/>
      <c r="Q1295" s="64">
        <f t="shared" si="206"/>
        <v>528050</v>
      </c>
      <c r="R1295" s="64">
        <f t="shared" si="207"/>
        <v>12800</v>
      </c>
      <c r="S1295" s="64">
        <f t="shared" si="208"/>
        <v>540850</v>
      </c>
    </row>
    <row r="1296" spans="2:19" x14ac:dyDescent="0.2">
      <c r="B1296" s="48">
        <f t="shared" si="209"/>
        <v>30</v>
      </c>
      <c r="C1296" s="11"/>
      <c r="D1296" s="11"/>
      <c r="E1296" s="11"/>
      <c r="F1296" s="65"/>
      <c r="G1296" s="10">
        <v>632</v>
      </c>
      <c r="H1296" s="11" t="s">
        <v>135</v>
      </c>
      <c r="I1296" s="66">
        <v>27200</v>
      </c>
      <c r="J1296" s="66"/>
      <c r="K1296" s="66">
        <f t="shared" si="210"/>
        <v>27200</v>
      </c>
      <c r="L1296" s="66"/>
      <c r="M1296" s="66"/>
      <c r="N1296" s="66"/>
      <c r="O1296" s="66">
        <f t="shared" si="211"/>
        <v>0</v>
      </c>
      <c r="P1296" s="67"/>
      <c r="Q1296" s="68">
        <f t="shared" si="206"/>
        <v>27200</v>
      </c>
      <c r="R1296" s="68">
        <f t="shared" si="207"/>
        <v>0</v>
      </c>
      <c r="S1296" s="68">
        <f t="shared" si="208"/>
        <v>27200</v>
      </c>
    </row>
    <row r="1297" spans="2:19" s="79" customFormat="1" ht="24" x14ac:dyDescent="0.2">
      <c r="B1297" s="48">
        <f t="shared" si="209"/>
        <v>31</v>
      </c>
      <c r="C1297" s="196"/>
      <c r="D1297" s="196"/>
      <c r="E1297" s="196"/>
      <c r="F1297" s="197"/>
      <c r="G1297" s="198">
        <v>633</v>
      </c>
      <c r="H1297" s="214" t="s">
        <v>604</v>
      </c>
      <c r="I1297" s="199">
        <v>0</v>
      </c>
      <c r="J1297" s="199">
        <v>12800</v>
      </c>
      <c r="K1297" s="199">
        <f>I1297+J1297</f>
        <v>12800</v>
      </c>
      <c r="L1297" s="199"/>
      <c r="M1297" s="199"/>
      <c r="N1297" s="199"/>
      <c r="O1297" s="199">
        <f>M1297+N1297</f>
        <v>0</v>
      </c>
      <c r="P1297" s="200"/>
      <c r="Q1297" s="80">
        <f t="shared" si="206"/>
        <v>0</v>
      </c>
      <c r="R1297" s="80">
        <f t="shared" si="207"/>
        <v>12800</v>
      </c>
      <c r="S1297" s="80">
        <f t="shared" si="208"/>
        <v>12800</v>
      </c>
    </row>
    <row r="1298" spans="2:19" x14ac:dyDescent="0.2">
      <c r="B1298" s="48">
        <f t="shared" si="209"/>
        <v>32</v>
      </c>
      <c r="C1298" s="11"/>
      <c r="D1298" s="11"/>
      <c r="E1298" s="11"/>
      <c r="F1298" s="65"/>
      <c r="G1298" s="10">
        <v>636</v>
      </c>
      <c r="H1298" s="11" t="s">
        <v>127</v>
      </c>
      <c r="I1298" s="66">
        <v>500000</v>
      </c>
      <c r="J1298" s="66"/>
      <c r="K1298" s="66">
        <f t="shared" si="210"/>
        <v>500000</v>
      </c>
      <c r="L1298" s="66"/>
      <c r="M1298" s="66"/>
      <c r="N1298" s="66"/>
      <c r="O1298" s="66">
        <f t="shared" si="211"/>
        <v>0</v>
      </c>
      <c r="P1298" s="67"/>
      <c r="Q1298" s="68">
        <f t="shared" si="206"/>
        <v>500000</v>
      </c>
      <c r="R1298" s="68">
        <f t="shared" si="207"/>
        <v>0</v>
      </c>
      <c r="S1298" s="68">
        <f t="shared" si="208"/>
        <v>500000</v>
      </c>
    </row>
    <row r="1299" spans="2:19" x14ac:dyDescent="0.2">
      <c r="B1299" s="48">
        <f t="shared" si="209"/>
        <v>33</v>
      </c>
      <c r="C1299" s="11"/>
      <c r="D1299" s="11"/>
      <c r="E1299" s="11"/>
      <c r="F1299" s="65"/>
      <c r="G1299" s="10">
        <v>637</v>
      </c>
      <c r="H1299" s="11" t="s">
        <v>123</v>
      </c>
      <c r="I1299" s="66">
        <v>850</v>
      </c>
      <c r="J1299" s="66"/>
      <c r="K1299" s="66">
        <f t="shared" si="210"/>
        <v>850</v>
      </c>
      <c r="L1299" s="66"/>
      <c r="M1299" s="66"/>
      <c r="N1299" s="66"/>
      <c r="O1299" s="66">
        <f t="shared" si="211"/>
        <v>0</v>
      </c>
      <c r="P1299" s="67"/>
      <c r="Q1299" s="68">
        <f t="shared" si="206"/>
        <v>850</v>
      </c>
      <c r="R1299" s="68">
        <f t="shared" si="207"/>
        <v>0</v>
      </c>
      <c r="S1299" s="68">
        <f t="shared" si="208"/>
        <v>850</v>
      </c>
    </row>
    <row r="1300" spans="2:19" x14ac:dyDescent="0.2">
      <c r="B1300" s="48">
        <f t="shared" si="209"/>
        <v>34</v>
      </c>
      <c r="C1300" s="11"/>
      <c r="D1300" s="11"/>
      <c r="E1300" s="11"/>
      <c r="F1300" s="61" t="s">
        <v>180</v>
      </c>
      <c r="G1300" s="8">
        <v>710</v>
      </c>
      <c r="H1300" s="9" t="s">
        <v>176</v>
      </c>
      <c r="I1300" s="66"/>
      <c r="J1300" s="66"/>
      <c r="K1300" s="66">
        <f>I1300+J1300</f>
        <v>0</v>
      </c>
      <c r="L1300" s="66"/>
      <c r="M1300" s="62">
        <f>M1301</f>
        <v>0</v>
      </c>
      <c r="N1300" s="62">
        <f>N1301</f>
        <v>12800</v>
      </c>
      <c r="O1300" s="62">
        <f>M1300+N1300</f>
        <v>12800</v>
      </c>
      <c r="P1300" s="67"/>
      <c r="Q1300" s="64">
        <f t="shared" si="206"/>
        <v>0</v>
      </c>
      <c r="R1300" s="64">
        <f t="shared" si="207"/>
        <v>12800</v>
      </c>
      <c r="S1300" s="64">
        <f t="shared" si="208"/>
        <v>12800</v>
      </c>
    </row>
    <row r="1301" spans="2:19" x14ac:dyDescent="0.2">
      <c r="B1301" s="48">
        <f t="shared" si="209"/>
        <v>35</v>
      </c>
      <c r="C1301" s="11"/>
      <c r="D1301" s="11"/>
      <c r="E1301" s="11"/>
      <c r="F1301" s="65"/>
      <c r="G1301" s="10">
        <v>717</v>
      </c>
      <c r="H1301" s="11" t="s">
        <v>183</v>
      </c>
      <c r="I1301" s="66"/>
      <c r="J1301" s="66"/>
      <c r="K1301" s="66">
        <f>I1301+J1301</f>
        <v>0</v>
      </c>
      <c r="L1301" s="66"/>
      <c r="M1301" s="66">
        <f>M1302</f>
        <v>0</v>
      </c>
      <c r="N1301" s="66">
        <f>N1302+N1303</f>
        <v>12800</v>
      </c>
      <c r="O1301" s="66">
        <f>M1301+N1301</f>
        <v>12800</v>
      </c>
      <c r="P1301" s="67"/>
      <c r="Q1301" s="68">
        <f t="shared" si="206"/>
        <v>0</v>
      </c>
      <c r="R1301" s="68">
        <f t="shared" si="207"/>
        <v>12800</v>
      </c>
      <c r="S1301" s="68">
        <f t="shared" si="208"/>
        <v>12800</v>
      </c>
    </row>
    <row r="1302" spans="2:19" x14ac:dyDescent="0.2">
      <c r="B1302" s="48">
        <f t="shared" si="209"/>
        <v>36</v>
      </c>
      <c r="C1302" s="11"/>
      <c r="D1302" s="11"/>
      <c r="E1302" s="11"/>
      <c r="F1302" s="188"/>
      <c r="G1302" s="82"/>
      <c r="H1302" s="13" t="s">
        <v>605</v>
      </c>
      <c r="I1302" s="66"/>
      <c r="J1302" s="66"/>
      <c r="K1302" s="66">
        <f>I1302+J1302</f>
        <v>0</v>
      </c>
      <c r="L1302" s="66"/>
      <c r="M1302" s="83">
        <v>0</v>
      </c>
      <c r="N1302" s="83">
        <v>12800</v>
      </c>
      <c r="O1302" s="83">
        <f>M1302+N1302</f>
        <v>12800</v>
      </c>
      <c r="P1302" s="84"/>
      <c r="Q1302" s="85">
        <f t="shared" si="206"/>
        <v>0</v>
      </c>
      <c r="R1302" s="85">
        <f t="shared" si="207"/>
        <v>12800</v>
      </c>
      <c r="S1302" s="85">
        <f t="shared" si="208"/>
        <v>12800</v>
      </c>
    </row>
    <row r="1303" spans="2:19" ht="15" x14ac:dyDescent="0.25">
      <c r="B1303" s="48">
        <f t="shared" si="209"/>
        <v>37</v>
      </c>
      <c r="C1303" s="69"/>
      <c r="D1303" s="69">
        <v>3</v>
      </c>
      <c r="E1303" s="433" t="s">
        <v>201</v>
      </c>
      <c r="F1303" s="434"/>
      <c r="G1303" s="434"/>
      <c r="H1303" s="434"/>
      <c r="I1303" s="70">
        <f>I1304+I1313+I1323</f>
        <v>936625</v>
      </c>
      <c r="J1303" s="70">
        <f>J1304+J1313+J1323</f>
        <v>2700</v>
      </c>
      <c r="K1303" s="70">
        <f t="shared" si="210"/>
        <v>939325</v>
      </c>
      <c r="L1303" s="58"/>
      <c r="M1303" s="70">
        <f>M1307+M1313</f>
        <v>11431645</v>
      </c>
      <c r="N1303" s="70">
        <f>N1307+N1313</f>
        <v>0</v>
      </c>
      <c r="O1303" s="70">
        <f t="shared" si="211"/>
        <v>11431645</v>
      </c>
      <c r="P1303" s="59"/>
      <c r="Q1303" s="71">
        <f t="shared" si="206"/>
        <v>12368270</v>
      </c>
      <c r="R1303" s="71">
        <f t="shared" si="207"/>
        <v>2700</v>
      </c>
      <c r="S1303" s="71">
        <f t="shared" si="208"/>
        <v>12370970</v>
      </c>
    </row>
    <row r="1304" spans="2:19" x14ac:dyDescent="0.2">
      <c r="B1304" s="48">
        <f t="shared" si="209"/>
        <v>38</v>
      </c>
      <c r="C1304" s="9"/>
      <c r="D1304" s="9"/>
      <c r="E1304" s="9"/>
      <c r="F1304" s="61" t="s">
        <v>180</v>
      </c>
      <c r="G1304" s="8">
        <v>630</v>
      </c>
      <c r="H1304" s="9" t="s">
        <v>122</v>
      </c>
      <c r="I1304" s="62">
        <f>SUM(I1305:I1306)</f>
        <v>21860</v>
      </c>
      <c r="J1304" s="62">
        <f>SUM(J1305:J1306)</f>
        <v>0</v>
      </c>
      <c r="K1304" s="62">
        <f t="shared" si="210"/>
        <v>21860</v>
      </c>
      <c r="L1304" s="62"/>
      <c r="M1304" s="62"/>
      <c r="N1304" s="62"/>
      <c r="O1304" s="62">
        <f t="shared" si="211"/>
        <v>0</v>
      </c>
      <c r="P1304" s="63"/>
      <c r="Q1304" s="64">
        <f t="shared" si="206"/>
        <v>21860</v>
      </c>
      <c r="R1304" s="64">
        <f t="shared" si="207"/>
        <v>0</v>
      </c>
      <c r="S1304" s="64">
        <f t="shared" si="208"/>
        <v>21860</v>
      </c>
    </row>
    <row r="1305" spans="2:19" x14ac:dyDescent="0.2">
      <c r="B1305" s="48">
        <f t="shared" si="209"/>
        <v>39</v>
      </c>
      <c r="C1305" s="11"/>
      <c r="D1305" s="11"/>
      <c r="E1305" s="11"/>
      <c r="F1305" s="65"/>
      <c r="G1305" s="10">
        <v>636</v>
      </c>
      <c r="H1305" s="11" t="s">
        <v>127</v>
      </c>
      <c r="I1305" s="66">
        <v>14580</v>
      </c>
      <c r="J1305" s="66"/>
      <c r="K1305" s="66">
        <f t="shared" si="210"/>
        <v>14580</v>
      </c>
      <c r="L1305" s="66"/>
      <c r="M1305" s="66"/>
      <c r="N1305" s="66"/>
      <c r="O1305" s="66">
        <f t="shared" si="211"/>
        <v>0</v>
      </c>
      <c r="P1305" s="67"/>
      <c r="Q1305" s="68">
        <f t="shared" si="206"/>
        <v>14580</v>
      </c>
      <c r="R1305" s="68">
        <f t="shared" si="207"/>
        <v>0</v>
      </c>
      <c r="S1305" s="68">
        <f t="shared" si="208"/>
        <v>14580</v>
      </c>
    </row>
    <row r="1306" spans="2:19" x14ac:dyDescent="0.2">
      <c r="B1306" s="48">
        <f t="shared" si="209"/>
        <v>40</v>
      </c>
      <c r="C1306" s="11"/>
      <c r="D1306" s="11"/>
      <c r="E1306" s="11"/>
      <c r="F1306" s="65"/>
      <c r="G1306" s="10">
        <v>637</v>
      </c>
      <c r="H1306" s="11" t="s">
        <v>123</v>
      </c>
      <c r="I1306" s="66">
        <v>7280</v>
      </c>
      <c r="J1306" s="66"/>
      <c r="K1306" s="66">
        <f t="shared" si="210"/>
        <v>7280</v>
      </c>
      <c r="L1306" s="66"/>
      <c r="M1306" s="66"/>
      <c r="N1306" s="66"/>
      <c r="O1306" s="66">
        <f t="shared" si="211"/>
        <v>0</v>
      </c>
      <c r="P1306" s="67"/>
      <c r="Q1306" s="68">
        <f t="shared" ref="Q1306:Q1342" si="215">I1306+M1306</f>
        <v>7280</v>
      </c>
      <c r="R1306" s="68">
        <f t="shared" ref="R1306:R1342" si="216">J1306+N1306</f>
        <v>0</v>
      </c>
      <c r="S1306" s="68">
        <f t="shared" ref="S1306:S1342" si="217">K1306+O1306</f>
        <v>7280</v>
      </c>
    </row>
    <row r="1307" spans="2:19" x14ac:dyDescent="0.2">
      <c r="B1307" s="48">
        <f t="shared" si="209"/>
        <v>41</v>
      </c>
      <c r="C1307" s="9"/>
      <c r="D1307" s="9"/>
      <c r="E1307" s="9"/>
      <c r="F1307" s="61" t="s">
        <v>180</v>
      </c>
      <c r="G1307" s="8">
        <v>710</v>
      </c>
      <c r="H1307" s="9" t="s">
        <v>176</v>
      </c>
      <c r="I1307" s="62"/>
      <c r="J1307" s="62"/>
      <c r="K1307" s="62">
        <f t="shared" si="210"/>
        <v>0</v>
      </c>
      <c r="L1307" s="62"/>
      <c r="M1307" s="62">
        <f>M1310+M1308</f>
        <v>11431645</v>
      </c>
      <c r="N1307" s="62">
        <f>N1310</f>
        <v>0</v>
      </c>
      <c r="O1307" s="62">
        <f t="shared" si="211"/>
        <v>11431645</v>
      </c>
      <c r="P1307" s="63"/>
      <c r="Q1307" s="64">
        <f t="shared" si="215"/>
        <v>11431645</v>
      </c>
      <c r="R1307" s="64">
        <f t="shared" si="216"/>
        <v>0</v>
      </c>
      <c r="S1307" s="64">
        <f t="shared" si="217"/>
        <v>11431645</v>
      </c>
    </row>
    <row r="1308" spans="2:19" x14ac:dyDescent="0.2">
      <c r="B1308" s="48">
        <f t="shared" si="209"/>
        <v>42</v>
      </c>
      <c r="C1308" s="9"/>
      <c r="D1308" s="9"/>
      <c r="E1308" s="9"/>
      <c r="F1308" s="61"/>
      <c r="G1308" s="10">
        <v>716</v>
      </c>
      <c r="H1308" s="11" t="s">
        <v>216</v>
      </c>
      <c r="I1308" s="62"/>
      <c r="J1308" s="62"/>
      <c r="K1308" s="62"/>
      <c r="L1308" s="62"/>
      <c r="M1308" s="66">
        <f>M1309</f>
        <v>15000</v>
      </c>
      <c r="N1308" s="66"/>
      <c r="O1308" s="66">
        <f t="shared" si="211"/>
        <v>15000</v>
      </c>
      <c r="P1308" s="67"/>
      <c r="Q1308" s="68">
        <f t="shared" ref="Q1308:Q1309" si="218">I1308+M1308</f>
        <v>15000</v>
      </c>
      <c r="R1308" s="68">
        <f t="shared" ref="R1308:R1309" si="219">J1308+N1308</f>
        <v>0</v>
      </c>
      <c r="S1308" s="68">
        <f t="shared" ref="S1308:S1309" si="220">K1308+O1308</f>
        <v>15000</v>
      </c>
    </row>
    <row r="1309" spans="2:19" x14ac:dyDescent="0.2">
      <c r="B1309" s="48">
        <f t="shared" si="209"/>
        <v>43</v>
      </c>
      <c r="C1309" s="9"/>
      <c r="D1309" s="9"/>
      <c r="E1309" s="9"/>
      <c r="F1309" s="61"/>
      <c r="G1309" s="10"/>
      <c r="H1309" s="13" t="s">
        <v>648</v>
      </c>
      <c r="I1309" s="62"/>
      <c r="J1309" s="62"/>
      <c r="K1309" s="62"/>
      <c r="L1309" s="62"/>
      <c r="M1309" s="83">
        <v>15000</v>
      </c>
      <c r="N1309" s="83"/>
      <c r="O1309" s="83">
        <f t="shared" si="211"/>
        <v>15000</v>
      </c>
      <c r="P1309" s="84"/>
      <c r="Q1309" s="85">
        <f t="shared" si="218"/>
        <v>15000</v>
      </c>
      <c r="R1309" s="85">
        <f t="shared" si="219"/>
        <v>0</v>
      </c>
      <c r="S1309" s="85">
        <f t="shared" si="220"/>
        <v>15000</v>
      </c>
    </row>
    <row r="1310" spans="2:19" x14ac:dyDescent="0.2">
      <c r="B1310" s="48">
        <f t="shared" si="209"/>
        <v>44</v>
      </c>
      <c r="C1310" s="11"/>
      <c r="D1310" s="11"/>
      <c r="E1310" s="11"/>
      <c r="F1310" s="65"/>
      <c r="G1310" s="10">
        <v>717</v>
      </c>
      <c r="H1310" s="11" t="s">
        <v>183</v>
      </c>
      <c r="I1310" s="66"/>
      <c r="J1310" s="66"/>
      <c r="K1310" s="66">
        <f t="shared" si="210"/>
        <v>0</v>
      </c>
      <c r="L1310" s="66"/>
      <c r="M1310" s="66">
        <f>SUM(M1311:M1312)</f>
        <v>11416645</v>
      </c>
      <c r="N1310" s="66">
        <f>SUM(N1311:N1312)</f>
        <v>0</v>
      </c>
      <c r="O1310" s="66">
        <f t="shared" si="211"/>
        <v>11416645</v>
      </c>
      <c r="P1310" s="67"/>
      <c r="Q1310" s="68">
        <f t="shared" si="215"/>
        <v>11416645</v>
      </c>
      <c r="R1310" s="68">
        <f t="shared" si="216"/>
        <v>0</v>
      </c>
      <c r="S1310" s="68">
        <f t="shared" si="217"/>
        <v>11416645</v>
      </c>
    </row>
    <row r="1311" spans="2:19" x14ac:dyDescent="0.2">
      <c r="B1311" s="48">
        <f t="shared" si="209"/>
        <v>45</v>
      </c>
      <c r="C1311" s="81"/>
      <c r="D1311" s="81"/>
      <c r="E1311" s="81"/>
      <c r="F1311" s="12"/>
      <c r="G1311" s="12"/>
      <c r="H1311" s="13" t="s">
        <v>443</v>
      </c>
      <c r="I1311" s="83"/>
      <c r="J1311" s="83"/>
      <c r="K1311" s="83">
        <f t="shared" si="210"/>
        <v>0</v>
      </c>
      <c r="L1311" s="83"/>
      <c r="M1311" s="83">
        <v>215900</v>
      </c>
      <c r="N1311" s="83"/>
      <c r="O1311" s="83">
        <f t="shared" si="211"/>
        <v>215900</v>
      </c>
      <c r="P1311" s="84"/>
      <c r="Q1311" s="85">
        <f t="shared" si="215"/>
        <v>215900</v>
      </c>
      <c r="R1311" s="85">
        <f t="shared" si="216"/>
        <v>0</v>
      </c>
      <c r="S1311" s="85">
        <f t="shared" si="217"/>
        <v>215900</v>
      </c>
    </row>
    <row r="1312" spans="2:19" x14ac:dyDescent="0.2">
      <c r="B1312" s="48">
        <f t="shared" si="209"/>
        <v>46</v>
      </c>
      <c r="C1312" s="81"/>
      <c r="D1312" s="81"/>
      <c r="E1312" s="81"/>
      <c r="F1312" s="12"/>
      <c r="G1312" s="12"/>
      <c r="H1312" s="13" t="s">
        <v>272</v>
      </c>
      <c r="I1312" s="83"/>
      <c r="J1312" s="83"/>
      <c r="K1312" s="83">
        <f t="shared" si="210"/>
        <v>0</v>
      </c>
      <c r="L1312" s="83"/>
      <c r="M1312" s="83">
        <v>11200745</v>
      </c>
      <c r="N1312" s="83"/>
      <c r="O1312" s="83">
        <f t="shared" si="211"/>
        <v>11200745</v>
      </c>
      <c r="P1312" s="84"/>
      <c r="Q1312" s="85">
        <f t="shared" si="215"/>
        <v>11200745</v>
      </c>
      <c r="R1312" s="85">
        <f t="shared" si="216"/>
        <v>0</v>
      </c>
      <c r="S1312" s="85">
        <f t="shared" si="217"/>
        <v>11200745</v>
      </c>
    </row>
    <row r="1313" spans="2:19" ht="15" x14ac:dyDescent="0.25">
      <c r="B1313" s="48">
        <f t="shared" si="209"/>
        <v>47</v>
      </c>
      <c r="C1313" s="166"/>
      <c r="D1313" s="166"/>
      <c r="E1313" s="166">
        <v>2</v>
      </c>
      <c r="F1313" s="167"/>
      <c r="G1313" s="167"/>
      <c r="H1313" s="166" t="s">
        <v>11</v>
      </c>
      <c r="I1313" s="168">
        <f>I1314+I1315+I1316+I1322</f>
        <v>804765</v>
      </c>
      <c r="J1313" s="168">
        <f>J1314+J1315+J1316+J1322</f>
        <v>2700</v>
      </c>
      <c r="K1313" s="168">
        <f t="shared" si="210"/>
        <v>807465</v>
      </c>
      <c r="L1313" s="58"/>
      <c r="M1313" s="168"/>
      <c r="N1313" s="168"/>
      <c r="O1313" s="168">
        <f t="shared" si="211"/>
        <v>0</v>
      </c>
      <c r="P1313" s="59"/>
      <c r="Q1313" s="169">
        <f t="shared" si="215"/>
        <v>804765</v>
      </c>
      <c r="R1313" s="169">
        <f t="shared" si="216"/>
        <v>2700</v>
      </c>
      <c r="S1313" s="169">
        <f t="shared" si="217"/>
        <v>807465</v>
      </c>
    </row>
    <row r="1314" spans="2:19" x14ac:dyDescent="0.2">
      <c r="B1314" s="48">
        <f t="shared" si="209"/>
        <v>48</v>
      </c>
      <c r="C1314" s="9"/>
      <c r="D1314" s="9"/>
      <c r="E1314" s="9"/>
      <c r="F1314" s="61" t="s">
        <v>180</v>
      </c>
      <c r="G1314" s="8">
        <v>610</v>
      </c>
      <c r="H1314" s="9" t="s">
        <v>132</v>
      </c>
      <c r="I1314" s="62">
        <v>102500</v>
      </c>
      <c r="J1314" s="62"/>
      <c r="K1314" s="62">
        <f t="shared" si="210"/>
        <v>102500</v>
      </c>
      <c r="L1314" s="62"/>
      <c r="M1314" s="62"/>
      <c r="N1314" s="62"/>
      <c r="O1314" s="62">
        <f t="shared" si="211"/>
        <v>0</v>
      </c>
      <c r="P1314" s="63"/>
      <c r="Q1314" s="64">
        <f t="shared" si="215"/>
        <v>102500</v>
      </c>
      <c r="R1314" s="64">
        <f t="shared" si="216"/>
        <v>0</v>
      </c>
      <c r="S1314" s="64">
        <f t="shared" si="217"/>
        <v>102500</v>
      </c>
    </row>
    <row r="1315" spans="2:19" x14ac:dyDescent="0.2">
      <c r="B1315" s="48">
        <f t="shared" si="209"/>
        <v>49</v>
      </c>
      <c r="C1315" s="9"/>
      <c r="D1315" s="9"/>
      <c r="E1315" s="9"/>
      <c r="F1315" s="61" t="s">
        <v>180</v>
      </c>
      <c r="G1315" s="8">
        <v>620</v>
      </c>
      <c r="H1315" s="9" t="s">
        <v>125</v>
      </c>
      <c r="I1315" s="62">
        <v>39065</v>
      </c>
      <c r="J1315" s="62"/>
      <c r="K1315" s="62">
        <f t="shared" si="210"/>
        <v>39065</v>
      </c>
      <c r="L1315" s="62"/>
      <c r="M1315" s="62"/>
      <c r="N1315" s="62"/>
      <c r="O1315" s="62">
        <f t="shared" si="211"/>
        <v>0</v>
      </c>
      <c r="P1315" s="63"/>
      <c r="Q1315" s="64">
        <f t="shared" si="215"/>
        <v>39065</v>
      </c>
      <c r="R1315" s="64">
        <f t="shared" si="216"/>
        <v>0</v>
      </c>
      <c r="S1315" s="64">
        <f t="shared" si="217"/>
        <v>39065</v>
      </c>
    </row>
    <row r="1316" spans="2:19" x14ac:dyDescent="0.2">
      <c r="B1316" s="48">
        <f t="shared" si="209"/>
        <v>50</v>
      </c>
      <c r="C1316" s="9"/>
      <c r="D1316" s="9"/>
      <c r="E1316" s="9"/>
      <c r="F1316" s="61" t="s">
        <v>180</v>
      </c>
      <c r="G1316" s="8">
        <v>630</v>
      </c>
      <c r="H1316" s="9" t="s">
        <v>122</v>
      </c>
      <c r="I1316" s="62">
        <f>I1321+I1320+I1319+I1318+I1317</f>
        <v>655200</v>
      </c>
      <c r="J1316" s="62">
        <f>J1321+J1320+J1319+J1318+J1317</f>
        <v>2700</v>
      </c>
      <c r="K1316" s="62">
        <f t="shared" si="210"/>
        <v>657900</v>
      </c>
      <c r="L1316" s="62"/>
      <c r="M1316" s="62"/>
      <c r="N1316" s="62"/>
      <c r="O1316" s="62">
        <f t="shared" si="211"/>
        <v>0</v>
      </c>
      <c r="P1316" s="63"/>
      <c r="Q1316" s="64">
        <f t="shared" si="215"/>
        <v>655200</v>
      </c>
      <c r="R1316" s="64">
        <f t="shared" si="216"/>
        <v>2700</v>
      </c>
      <c r="S1316" s="64">
        <f t="shared" si="217"/>
        <v>657900</v>
      </c>
    </row>
    <row r="1317" spans="2:19" x14ac:dyDescent="0.2">
      <c r="B1317" s="48">
        <f t="shared" si="209"/>
        <v>51</v>
      </c>
      <c r="C1317" s="11"/>
      <c r="D1317" s="11"/>
      <c r="E1317" s="11"/>
      <c r="F1317" s="65"/>
      <c r="G1317" s="10">
        <v>632</v>
      </c>
      <c r="H1317" s="11" t="s">
        <v>135</v>
      </c>
      <c r="I1317" s="66">
        <v>530000</v>
      </c>
      <c r="J1317" s="66"/>
      <c r="K1317" s="66">
        <f t="shared" si="210"/>
        <v>530000</v>
      </c>
      <c r="L1317" s="66"/>
      <c r="M1317" s="66"/>
      <c r="N1317" s="66"/>
      <c r="O1317" s="66">
        <f t="shared" si="211"/>
        <v>0</v>
      </c>
      <c r="P1317" s="67"/>
      <c r="Q1317" s="68">
        <f t="shared" si="215"/>
        <v>530000</v>
      </c>
      <c r="R1317" s="68">
        <f t="shared" si="216"/>
        <v>0</v>
      </c>
      <c r="S1317" s="68">
        <f t="shared" si="217"/>
        <v>530000</v>
      </c>
    </row>
    <row r="1318" spans="2:19" x14ac:dyDescent="0.2">
      <c r="B1318" s="48">
        <f t="shared" si="209"/>
        <v>52</v>
      </c>
      <c r="C1318" s="11"/>
      <c r="D1318" s="11"/>
      <c r="E1318" s="11"/>
      <c r="F1318" s="65"/>
      <c r="G1318" s="10">
        <v>633</v>
      </c>
      <c r="H1318" s="11" t="s">
        <v>126</v>
      </c>
      <c r="I1318" s="66">
        <v>17000</v>
      </c>
      <c r="J1318" s="66">
        <v>2700</v>
      </c>
      <c r="K1318" s="66">
        <f t="shared" si="210"/>
        <v>19700</v>
      </c>
      <c r="L1318" s="66"/>
      <c r="M1318" s="66"/>
      <c r="N1318" s="66"/>
      <c r="O1318" s="66">
        <f t="shared" si="211"/>
        <v>0</v>
      </c>
      <c r="P1318" s="67"/>
      <c r="Q1318" s="68">
        <f t="shared" si="215"/>
        <v>17000</v>
      </c>
      <c r="R1318" s="68">
        <f t="shared" si="216"/>
        <v>2700</v>
      </c>
      <c r="S1318" s="68">
        <f t="shared" si="217"/>
        <v>19700</v>
      </c>
    </row>
    <row r="1319" spans="2:19" x14ac:dyDescent="0.2">
      <c r="B1319" s="48">
        <f t="shared" si="209"/>
        <v>53</v>
      </c>
      <c r="C1319" s="11"/>
      <c r="D1319" s="11"/>
      <c r="E1319" s="11"/>
      <c r="F1319" s="65"/>
      <c r="G1319" s="10">
        <v>635</v>
      </c>
      <c r="H1319" s="11" t="s">
        <v>134</v>
      </c>
      <c r="I1319" s="66">
        <v>50000</v>
      </c>
      <c r="J1319" s="66"/>
      <c r="K1319" s="66">
        <f t="shared" si="210"/>
        <v>50000</v>
      </c>
      <c r="L1319" s="66"/>
      <c r="M1319" s="66"/>
      <c r="N1319" s="66"/>
      <c r="O1319" s="66">
        <f t="shared" si="211"/>
        <v>0</v>
      </c>
      <c r="P1319" s="67"/>
      <c r="Q1319" s="68">
        <f t="shared" si="215"/>
        <v>50000</v>
      </c>
      <c r="R1319" s="68">
        <f t="shared" si="216"/>
        <v>0</v>
      </c>
      <c r="S1319" s="68">
        <f t="shared" si="217"/>
        <v>50000</v>
      </c>
    </row>
    <row r="1320" spans="2:19" x14ac:dyDescent="0.2">
      <c r="B1320" s="48">
        <f t="shared" si="209"/>
        <v>54</v>
      </c>
      <c r="C1320" s="11"/>
      <c r="D1320" s="11"/>
      <c r="E1320" s="11"/>
      <c r="F1320" s="65"/>
      <c r="G1320" s="10">
        <v>636</v>
      </c>
      <c r="H1320" s="11" t="s">
        <v>127</v>
      </c>
      <c r="I1320" s="66">
        <v>200</v>
      </c>
      <c r="J1320" s="66"/>
      <c r="K1320" s="66">
        <f t="shared" si="210"/>
        <v>200</v>
      </c>
      <c r="L1320" s="66"/>
      <c r="M1320" s="66"/>
      <c r="N1320" s="66"/>
      <c r="O1320" s="66">
        <f t="shared" si="211"/>
        <v>0</v>
      </c>
      <c r="P1320" s="67"/>
      <c r="Q1320" s="68">
        <f t="shared" si="215"/>
        <v>200</v>
      </c>
      <c r="R1320" s="68">
        <f t="shared" si="216"/>
        <v>0</v>
      </c>
      <c r="S1320" s="68">
        <f t="shared" si="217"/>
        <v>200</v>
      </c>
    </row>
    <row r="1321" spans="2:19" x14ac:dyDescent="0.2">
      <c r="B1321" s="48">
        <f t="shared" si="209"/>
        <v>55</v>
      </c>
      <c r="C1321" s="11"/>
      <c r="D1321" s="11"/>
      <c r="E1321" s="11"/>
      <c r="F1321" s="65"/>
      <c r="G1321" s="10">
        <v>637</v>
      </c>
      <c r="H1321" s="11" t="s">
        <v>123</v>
      </c>
      <c r="I1321" s="66">
        <v>58000</v>
      </c>
      <c r="J1321" s="66"/>
      <c r="K1321" s="66">
        <f t="shared" si="210"/>
        <v>58000</v>
      </c>
      <c r="L1321" s="66"/>
      <c r="M1321" s="66"/>
      <c r="N1321" s="66"/>
      <c r="O1321" s="66">
        <f t="shared" si="211"/>
        <v>0</v>
      </c>
      <c r="P1321" s="67"/>
      <c r="Q1321" s="68">
        <f t="shared" si="215"/>
        <v>58000</v>
      </c>
      <c r="R1321" s="68">
        <f t="shared" si="216"/>
        <v>0</v>
      </c>
      <c r="S1321" s="68">
        <f t="shared" si="217"/>
        <v>58000</v>
      </c>
    </row>
    <row r="1322" spans="2:19" x14ac:dyDescent="0.2">
      <c r="B1322" s="48">
        <f t="shared" si="209"/>
        <v>56</v>
      </c>
      <c r="C1322" s="9"/>
      <c r="D1322" s="9"/>
      <c r="E1322" s="9"/>
      <c r="F1322" s="61" t="s">
        <v>180</v>
      </c>
      <c r="G1322" s="8">
        <v>640</v>
      </c>
      <c r="H1322" s="9" t="s">
        <v>130</v>
      </c>
      <c r="I1322" s="62">
        <v>8000</v>
      </c>
      <c r="J1322" s="62"/>
      <c r="K1322" s="62">
        <f t="shared" si="210"/>
        <v>8000</v>
      </c>
      <c r="L1322" s="62"/>
      <c r="M1322" s="62"/>
      <c r="N1322" s="62"/>
      <c r="O1322" s="62">
        <f t="shared" si="211"/>
        <v>0</v>
      </c>
      <c r="P1322" s="63"/>
      <c r="Q1322" s="64">
        <f t="shared" si="215"/>
        <v>8000</v>
      </c>
      <c r="R1322" s="64">
        <f t="shared" si="216"/>
        <v>0</v>
      </c>
      <c r="S1322" s="64">
        <f t="shared" si="217"/>
        <v>8000</v>
      </c>
    </row>
    <row r="1323" spans="2:19" ht="15" x14ac:dyDescent="0.25">
      <c r="B1323" s="48">
        <f t="shared" si="209"/>
        <v>57</v>
      </c>
      <c r="C1323" s="166"/>
      <c r="D1323" s="166"/>
      <c r="E1323" s="166">
        <v>8</v>
      </c>
      <c r="F1323" s="167"/>
      <c r="G1323" s="167"/>
      <c r="H1323" s="166" t="s">
        <v>6</v>
      </c>
      <c r="I1323" s="168">
        <f>I1324</f>
        <v>110000</v>
      </c>
      <c r="J1323" s="168">
        <f>J1324</f>
        <v>0</v>
      </c>
      <c r="K1323" s="168">
        <f t="shared" si="210"/>
        <v>110000</v>
      </c>
      <c r="L1323" s="58"/>
      <c r="M1323" s="168"/>
      <c r="N1323" s="168"/>
      <c r="O1323" s="168">
        <f t="shared" si="211"/>
        <v>0</v>
      </c>
      <c r="P1323" s="59"/>
      <c r="Q1323" s="169">
        <f t="shared" si="215"/>
        <v>110000</v>
      </c>
      <c r="R1323" s="169">
        <f t="shared" si="216"/>
        <v>0</v>
      </c>
      <c r="S1323" s="169">
        <f t="shared" si="217"/>
        <v>110000</v>
      </c>
    </row>
    <row r="1324" spans="2:19" x14ac:dyDescent="0.2">
      <c r="B1324" s="48">
        <f t="shared" si="209"/>
        <v>58</v>
      </c>
      <c r="C1324" s="9"/>
      <c r="D1324" s="9"/>
      <c r="E1324" s="9"/>
      <c r="F1324" s="61" t="s">
        <v>180</v>
      </c>
      <c r="G1324" s="8">
        <v>630</v>
      </c>
      <c r="H1324" s="9" t="s">
        <v>122</v>
      </c>
      <c r="I1324" s="62">
        <f>I1325</f>
        <v>110000</v>
      </c>
      <c r="J1324" s="62">
        <f>J1325</f>
        <v>0</v>
      </c>
      <c r="K1324" s="62">
        <f t="shared" si="210"/>
        <v>110000</v>
      </c>
      <c r="L1324" s="62"/>
      <c r="M1324" s="62"/>
      <c r="N1324" s="62"/>
      <c r="O1324" s="62">
        <f t="shared" si="211"/>
        <v>0</v>
      </c>
      <c r="P1324" s="63"/>
      <c r="Q1324" s="64">
        <f t="shared" si="215"/>
        <v>110000</v>
      </c>
      <c r="R1324" s="64">
        <f t="shared" si="216"/>
        <v>0</v>
      </c>
      <c r="S1324" s="64">
        <f t="shared" si="217"/>
        <v>110000</v>
      </c>
    </row>
    <row r="1325" spans="2:19" x14ac:dyDescent="0.2">
      <c r="B1325" s="48">
        <f t="shared" si="209"/>
        <v>59</v>
      </c>
      <c r="C1325" s="11"/>
      <c r="D1325" s="11"/>
      <c r="E1325" s="11"/>
      <c r="F1325" s="65"/>
      <c r="G1325" s="10">
        <v>636</v>
      </c>
      <c r="H1325" s="11" t="s">
        <v>127</v>
      </c>
      <c r="I1325" s="66">
        <v>110000</v>
      </c>
      <c r="J1325" s="66"/>
      <c r="K1325" s="66">
        <f t="shared" si="210"/>
        <v>110000</v>
      </c>
      <c r="L1325" s="66"/>
      <c r="M1325" s="66"/>
      <c r="N1325" s="66"/>
      <c r="O1325" s="66">
        <f t="shared" si="211"/>
        <v>0</v>
      </c>
      <c r="P1325" s="67"/>
      <c r="Q1325" s="68">
        <f t="shared" si="215"/>
        <v>110000</v>
      </c>
      <c r="R1325" s="68">
        <f t="shared" si="216"/>
        <v>0</v>
      </c>
      <c r="S1325" s="68">
        <f t="shared" si="217"/>
        <v>110000</v>
      </c>
    </row>
    <row r="1326" spans="2:19" ht="15" x14ac:dyDescent="0.25">
      <c r="B1326" s="48">
        <f t="shared" si="209"/>
        <v>60</v>
      </c>
      <c r="C1326" s="69"/>
      <c r="D1326" s="69">
        <v>4</v>
      </c>
      <c r="E1326" s="433" t="s">
        <v>202</v>
      </c>
      <c r="F1326" s="434"/>
      <c r="G1326" s="434"/>
      <c r="H1326" s="434"/>
      <c r="I1326" s="70">
        <f>I1330</f>
        <v>973660</v>
      </c>
      <c r="J1326" s="70">
        <f>J1330</f>
        <v>0</v>
      </c>
      <c r="K1326" s="70">
        <f t="shared" si="210"/>
        <v>973660</v>
      </c>
      <c r="L1326" s="58"/>
      <c r="M1326" s="70">
        <f>M1327+M1330</f>
        <v>501500</v>
      </c>
      <c r="N1326" s="70">
        <f>N1327+N1330</f>
        <v>0</v>
      </c>
      <c r="O1326" s="70">
        <f t="shared" si="211"/>
        <v>501500</v>
      </c>
      <c r="P1326" s="59"/>
      <c r="Q1326" s="71">
        <f t="shared" si="215"/>
        <v>1475160</v>
      </c>
      <c r="R1326" s="71">
        <f t="shared" si="216"/>
        <v>0</v>
      </c>
      <c r="S1326" s="71">
        <f t="shared" si="217"/>
        <v>1475160</v>
      </c>
    </row>
    <row r="1327" spans="2:19" x14ac:dyDescent="0.2">
      <c r="B1327" s="48">
        <f t="shared" si="209"/>
        <v>61</v>
      </c>
      <c r="C1327" s="9"/>
      <c r="D1327" s="9"/>
      <c r="E1327" s="9"/>
      <c r="F1327" s="61" t="s">
        <v>180</v>
      </c>
      <c r="G1327" s="8">
        <v>710</v>
      </c>
      <c r="H1327" s="9" t="s">
        <v>176</v>
      </c>
      <c r="I1327" s="62"/>
      <c r="J1327" s="62"/>
      <c r="K1327" s="62">
        <f t="shared" si="210"/>
        <v>0</v>
      </c>
      <c r="L1327" s="62"/>
      <c r="M1327" s="62">
        <f>M1328</f>
        <v>498000</v>
      </c>
      <c r="N1327" s="62">
        <f>N1328</f>
        <v>0</v>
      </c>
      <c r="O1327" s="62">
        <f t="shared" si="211"/>
        <v>498000</v>
      </c>
      <c r="P1327" s="63"/>
      <c r="Q1327" s="64">
        <f t="shared" si="215"/>
        <v>498000</v>
      </c>
      <c r="R1327" s="64">
        <f t="shared" si="216"/>
        <v>0</v>
      </c>
      <c r="S1327" s="64">
        <f t="shared" si="217"/>
        <v>498000</v>
      </c>
    </row>
    <row r="1328" spans="2:19" x14ac:dyDescent="0.2">
      <c r="B1328" s="48">
        <f t="shared" si="209"/>
        <v>62</v>
      </c>
      <c r="C1328" s="11"/>
      <c r="D1328" s="11"/>
      <c r="E1328" s="11"/>
      <c r="F1328" s="65"/>
      <c r="G1328" s="10">
        <v>717</v>
      </c>
      <c r="H1328" s="11" t="s">
        <v>183</v>
      </c>
      <c r="I1328" s="66"/>
      <c r="J1328" s="66"/>
      <c r="K1328" s="66">
        <f t="shared" si="210"/>
        <v>0</v>
      </c>
      <c r="L1328" s="66"/>
      <c r="M1328" s="66">
        <f>M1329</f>
        <v>498000</v>
      </c>
      <c r="N1328" s="66">
        <f>N1329</f>
        <v>0</v>
      </c>
      <c r="O1328" s="66">
        <f t="shared" si="211"/>
        <v>498000</v>
      </c>
      <c r="P1328" s="67"/>
      <c r="Q1328" s="68">
        <f t="shared" si="215"/>
        <v>498000</v>
      </c>
      <c r="R1328" s="68">
        <f t="shared" si="216"/>
        <v>0</v>
      </c>
      <c r="S1328" s="68">
        <f t="shared" si="217"/>
        <v>498000</v>
      </c>
    </row>
    <row r="1329" spans="2:19" x14ac:dyDescent="0.2">
      <c r="B1329" s="48">
        <f t="shared" si="209"/>
        <v>63</v>
      </c>
      <c r="C1329" s="81"/>
      <c r="D1329" s="81"/>
      <c r="E1329" s="81"/>
      <c r="F1329" s="12"/>
      <c r="G1329" s="12"/>
      <c r="H1329" s="13" t="s">
        <v>285</v>
      </c>
      <c r="I1329" s="211"/>
      <c r="J1329" s="211"/>
      <c r="K1329" s="211">
        <f t="shared" si="210"/>
        <v>0</v>
      </c>
      <c r="L1329" s="211"/>
      <c r="M1329" s="211">
        <v>498000</v>
      </c>
      <c r="N1329" s="211"/>
      <c r="O1329" s="211">
        <f t="shared" si="211"/>
        <v>498000</v>
      </c>
      <c r="P1329" s="215"/>
      <c r="Q1329" s="216">
        <f t="shared" si="215"/>
        <v>498000</v>
      </c>
      <c r="R1329" s="216">
        <f t="shared" si="216"/>
        <v>0</v>
      </c>
      <c r="S1329" s="216">
        <f t="shared" si="217"/>
        <v>498000</v>
      </c>
    </row>
    <row r="1330" spans="2:19" ht="15" x14ac:dyDescent="0.25">
      <c r="B1330" s="48">
        <f t="shared" si="209"/>
        <v>64</v>
      </c>
      <c r="C1330" s="166"/>
      <c r="D1330" s="166"/>
      <c r="E1330" s="166">
        <v>2</v>
      </c>
      <c r="F1330" s="167"/>
      <c r="G1330" s="167"/>
      <c r="H1330" s="166" t="s">
        <v>11</v>
      </c>
      <c r="I1330" s="168">
        <f>I1331+I1332+I1333+I1338</f>
        <v>973660</v>
      </c>
      <c r="J1330" s="168">
        <f>J1331+J1332+J1333+J1338</f>
        <v>0</v>
      </c>
      <c r="K1330" s="168">
        <f t="shared" si="210"/>
        <v>973660</v>
      </c>
      <c r="L1330" s="58"/>
      <c r="M1330" s="168">
        <f>M1339</f>
        <v>3500</v>
      </c>
      <c r="N1330" s="168">
        <v>0</v>
      </c>
      <c r="O1330" s="168">
        <f t="shared" si="211"/>
        <v>3500</v>
      </c>
      <c r="P1330" s="59"/>
      <c r="Q1330" s="169">
        <f t="shared" si="215"/>
        <v>977160</v>
      </c>
      <c r="R1330" s="169">
        <f t="shared" si="216"/>
        <v>0</v>
      </c>
      <c r="S1330" s="169">
        <f t="shared" si="217"/>
        <v>977160</v>
      </c>
    </row>
    <row r="1331" spans="2:19" x14ac:dyDescent="0.2">
      <c r="B1331" s="48">
        <f t="shared" si="209"/>
        <v>65</v>
      </c>
      <c r="C1331" s="9"/>
      <c r="D1331" s="9"/>
      <c r="E1331" s="9"/>
      <c r="F1331" s="61" t="s">
        <v>180</v>
      </c>
      <c r="G1331" s="8">
        <v>610</v>
      </c>
      <c r="H1331" s="9" t="s">
        <v>132</v>
      </c>
      <c r="I1331" s="62">
        <v>232500</v>
      </c>
      <c r="J1331" s="62"/>
      <c r="K1331" s="62">
        <f t="shared" si="210"/>
        <v>232500</v>
      </c>
      <c r="L1331" s="62"/>
      <c r="M1331" s="62"/>
      <c r="N1331" s="62"/>
      <c r="O1331" s="62">
        <f t="shared" si="211"/>
        <v>0</v>
      </c>
      <c r="P1331" s="63"/>
      <c r="Q1331" s="64">
        <f t="shared" si="215"/>
        <v>232500</v>
      </c>
      <c r="R1331" s="64">
        <f t="shared" si="216"/>
        <v>0</v>
      </c>
      <c r="S1331" s="64">
        <f t="shared" si="217"/>
        <v>232500</v>
      </c>
    </row>
    <row r="1332" spans="2:19" x14ac:dyDescent="0.2">
      <c r="B1332" s="48">
        <f t="shared" si="209"/>
        <v>66</v>
      </c>
      <c r="C1332" s="9"/>
      <c r="D1332" s="9"/>
      <c r="E1332" s="9"/>
      <c r="F1332" s="61" t="s">
        <v>180</v>
      </c>
      <c r="G1332" s="8">
        <v>620</v>
      </c>
      <c r="H1332" s="9" t="s">
        <v>125</v>
      </c>
      <c r="I1332" s="62">
        <f>24815+87495</f>
        <v>112310</v>
      </c>
      <c r="J1332" s="62"/>
      <c r="K1332" s="62">
        <f t="shared" si="210"/>
        <v>112310</v>
      </c>
      <c r="L1332" s="62"/>
      <c r="M1332" s="62"/>
      <c r="N1332" s="62"/>
      <c r="O1332" s="62">
        <f t="shared" si="211"/>
        <v>0</v>
      </c>
      <c r="P1332" s="63"/>
      <c r="Q1332" s="64">
        <f t="shared" si="215"/>
        <v>112310</v>
      </c>
      <c r="R1332" s="64">
        <f t="shared" si="216"/>
        <v>0</v>
      </c>
      <c r="S1332" s="64">
        <f t="shared" si="217"/>
        <v>112310</v>
      </c>
    </row>
    <row r="1333" spans="2:19" x14ac:dyDescent="0.2">
      <c r="B1333" s="48">
        <f t="shared" si="209"/>
        <v>67</v>
      </c>
      <c r="C1333" s="9"/>
      <c r="D1333" s="9"/>
      <c r="E1333" s="9"/>
      <c r="F1333" s="61" t="s">
        <v>180</v>
      </c>
      <c r="G1333" s="8">
        <v>630</v>
      </c>
      <c r="H1333" s="9" t="s">
        <v>122</v>
      </c>
      <c r="I1333" s="62">
        <f>I1337+I1336+I1335+I1334</f>
        <v>615500</v>
      </c>
      <c r="J1333" s="62">
        <f>J1337+J1336+J1335+J1334</f>
        <v>0</v>
      </c>
      <c r="K1333" s="62">
        <f t="shared" si="210"/>
        <v>615500</v>
      </c>
      <c r="L1333" s="62"/>
      <c r="M1333" s="62"/>
      <c r="N1333" s="62"/>
      <c r="O1333" s="62">
        <f t="shared" si="211"/>
        <v>0</v>
      </c>
      <c r="P1333" s="63"/>
      <c r="Q1333" s="64">
        <f t="shared" si="215"/>
        <v>615500</v>
      </c>
      <c r="R1333" s="64">
        <f t="shared" si="216"/>
        <v>0</v>
      </c>
      <c r="S1333" s="64">
        <f t="shared" si="217"/>
        <v>615500</v>
      </c>
    </row>
    <row r="1334" spans="2:19" x14ac:dyDescent="0.2">
      <c r="B1334" s="48">
        <f t="shared" si="209"/>
        <v>68</v>
      </c>
      <c r="C1334" s="11"/>
      <c r="D1334" s="11"/>
      <c r="E1334" s="11"/>
      <c r="F1334" s="65"/>
      <c r="G1334" s="10">
        <v>632</v>
      </c>
      <c r="H1334" s="11" t="s">
        <v>135</v>
      </c>
      <c r="I1334" s="66">
        <v>380000</v>
      </c>
      <c r="J1334" s="66"/>
      <c r="K1334" s="66">
        <f t="shared" si="210"/>
        <v>380000</v>
      </c>
      <c r="L1334" s="66"/>
      <c r="M1334" s="66"/>
      <c r="N1334" s="66"/>
      <c r="O1334" s="66">
        <f t="shared" si="211"/>
        <v>0</v>
      </c>
      <c r="P1334" s="67"/>
      <c r="Q1334" s="68">
        <f t="shared" si="215"/>
        <v>380000</v>
      </c>
      <c r="R1334" s="68">
        <f t="shared" si="216"/>
        <v>0</v>
      </c>
      <c r="S1334" s="68">
        <f t="shared" si="217"/>
        <v>380000</v>
      </c>
    </row>
    <row r="1335" spans="2:19" x14ac:dyDescent="0.2">
      <c r="B1335" s="48">
        <f t="shared" si="209"/>
        <v>69</v>
      </c>
      <c r="C1335" s="11"/>
      <c r="D1335" s="11"/>
      <c r="E1335" s="11"/>
      <c r="F1335" s="65"/>
      <c r="G1335" s="10">
        <v>633</v>
      </c>
      <c r="H1335" s="11" t="s">
        <v>126</v>
      </c>
      <c r="I1335" s="66">
        <f>70000-3500</f>
        <v>66500</v>
      </c>
      <c r="J1335" s="66"/>
      <c r="K1335" s="66">
        <f t="shared" si="210"/>
        <v>66500</v>
      </c>
      <c r="L1335" s="66"/>
      <c r="M1335" s="66"/>
      <c r="N1335" s="66"/>
      <c r="O1335" s="66">
        <f t="shared" si="211"/>
        <v>0</v>
      </c>
      <c r="P1335" s="67"/>
      <c r="Q1335" s="68">
        <f t="shared" si="215"/>
        <v>66500</v>
      </c>
      <c r="R1335" s="68">
        <f t="shared" si="216"/>
        <v>0</v>
      </c>
      <c r="S1335" s="68">
        <f t="shared" si="217"/>
        <v>66500</v>
      </c>
    </row>
    <row r="1336" spans="2:19" x14ac:dyDescent="0.2">
      <c r="B1336" s="48">
        <f t="shared" si="209"/>
        <v>70</v>
      </c>
      <c r="C1336" s="11"/>
      <c r="D1336" s="11"/>
      <c r="E1336" s="11"/>
      <c r="F1336" s="65"/>
      <c r="G1336" s="10">
        <v>635</v>
      </c>
      <c r="H1336" s="11" t="s">
        <v>134</v>
      </c>
      <c r="I1336" s="66">
        <v>57000</v>
      </c>
      <c r="J1336" s="66"/>
      <c r="K1336" s="66">
        <f t="shared" si="210"/>
        <v>57000</v>
      </c>
      <c r="L1336" s="66"/>
      <c r="M1336" s="66"/>
      <c r="N1336" s="66"/>
      <c r="O1336" s="66">
        <f t="shared" si="211"/>
        <v>0</v>
      </c>
      <c r="P1336" s="67"/>
      <c r="Q1336" s="68">
        <f t="shared" si="215"/>
        <v>57000</v>
      </c>
      <c r="R1336" s="68">
        <f t="shared" si="216"/>
        <v>0</v>
      </c>
      <c r="S1336" s="68">
        <f t="shared" si="217"/>
        <v>57000</v>
      </c>
    </row>
    <row r="1337" spans="2:19" x14ac:dyDescent="0.2">
      <c r="B1337" s="48">
        <f t="shared" si="209"/>
        <v>71</v>
      </c>
      <c r="C1337" s="11"/>
      <c r="D1337" s="11"/>
      <c r="E1337" s="11"/>
      <c r="F1337" s="65"/>
      <c r="G1337" s="10">
        <v>637</v>
      </c>
      <c r="H1337" s="11" t="s">
        <v>123</v>
      </c>
      <c r="I1337" s="66">
        <v>112000</v>
      </c>
      <c r="J1337" s="66"/>
      <c r="K1337" s="66">
        <f t="shared" si="210"/>
        <v>112000</v>
      </c>
      <c r="L1337" s="66"/>
      <c r="M1337" s="66"/>
      <c r="N1337" s="66"/>
      <c r="O1337" s="66">
        <f t="shared" si="211"/>
        <v>0</v>
      </c>
      <c r="P1337" s="67"/>
      <c r="Q1337" s="68">
        <f t="shared" si="215"/>
        <v>112000</v>
      </c>
      <c r="R1337" s="68">
        <f t="shared" si="216"/>
        <v>0</v>
      </c>
      <c r="S1337" s="68">
        <f t="shared" si="217"/>
        <v>112000</v>
      </c>
    </row>
    <row r="1338" spans="2:19" x14ac:dyDescent="0.2">
      <c r="B1338" s="48">
        <f t="shared" ref="B1338:B1347" si="221">B1337+1</f>
        <v>72</v>
      </c>
      <c r="C1338" s="9"/>
      <c r="D1338" s="9"/>
      <c r="E1338" s="9"/>
      <c r="F1338" s="61" t="s">
        <v>180</v>
      </c>
      <c r="G1338" s="8">
        <v>640</v>
      </c>
      <c r="H1338" s="9" t="s">
        <v>130</v>
      </c>
      <c r="I1338" s="62">
        <f>1650+11000+700</f>
        <v>13350</v>
      </c>
      <c r="J1338" s="62"/>
      <c r="K1338" s="62">
        <f t="shared" si="210"/>
        <v>13350</v>
      </c>
      <c r="L1338" s="62"/>
      <c r="M1338" s="62"/>
      <c r="N1338" s="62"/>
      <c r="O1338" s="62">
        <f t="shared" si="211"/>
        <v>0</v>
      </c>
      <c r="P1338" s="63"/>
      <c r="Q1338" s="64">
        <f t="shared" si="215"/>
        <v>13350</v>
      </c>
      <c r="R1338" s="64">
        <f t="shared" si="216"/>
        <v>0</v>
      </c>
      <c r="S1338" s="64">
        <f t="shared" si="217"/>
        <v>13350</v>
      </c>
    </row>
    <row r="1339" spans="2:19" x14ac:dyDescent="0.2">
      <c r="B1339" s="48">
        <f t="shared" si="221"/>
        <v>73</v>
      </c>
      <c r="C1339" s="9"/>
      <c r="D1339" s="9"/>
      <c r="E1339" s="9"/>
      <c r="F1339" s="61"/>
      <c r="G1339" s="8">
        <v>710</v>
      </c>
      <c r="H1339" s="9" t="s">
        <v>176</v>
      </c>
      <c r="I1339" s="62"/>
      <c r="J1339" s="62"/>
      <c r="K1339" s="62"/>
      <c r="L1339" s="62"/>
      <c r="M1339" s="62">
        <f>M1340</f>
        <v>3500</v>
      </c>
      <c r="N1339" s="62"/>
      <c r="O1339" s="62">
        <f t="shared" si="211"/>
        <v>3500</v>
      </c>
      <c r="P1339" s="63"/>
      <c r="Q1339" s="64">
        <f t="shared" ref="Q1339:Q1341" si="222">I1339+M1339</f>
        <v>3500</v>
      </c>
      <c r="R1339" s="64">
        <f t="shared" ref="R1339:R1341" si="223">J1339+N1339</f>
        <v>0</v>
      </c>
      <c r="S1339" s="64">
        <f t="shared" ref="S1339:S1341" si="224">K1339+O1339</f>
        <v>3500</v>
      </c>
    </row>
    <row r="1340" spans="2:19" x14ac:dyDescent="0.2">
      <c r="B1340" s="48">
        <f t="shared" si="221"/>
        <v>74</v>
      </c>
      <c r="C1340" s="9"/>
      <c r="D1340" s="9"/>
      <c r="E1340" s="9"/>
      <c r="F1340" s="61"/>
      <c r="G1340" s="10">
        <v>713</v>
      </c>
      <c r="H1340" s="11" t="s">
        <v>219</v>
      </c>
      <c r="I1340" s="62"/>
      <c r="J1340" s="62"/>
      <c r="K1340" s="62"/>
      <c r="L1340" s="62"/>
      <c r="M1340" s="66">
        <f>M1341</f>
        <v>3500</v>
      </c>
      <c r="N1340" s="66"/>
      <c r="O1340" s="66">
        <f t="shared" si="211"/>
        <v>3500</v>
      </c>
      <c r="P1340" s="63"/>
      <c r="Q1340" s="68">
        <f t="shared" si="222"/>
        <v>3500</v>
      </c>
      <c r="R1340" s="68">
        <f t="shared" si="223"/>
        <v>0</v>
      </c>
      <c r="S1340" s="68">
        <f t="shared" si="224"/>
        <v>3500</v>
      </c>
    </row>
    <row r="1341" spans="2:19" x14ac:dyDescent="0.2">
      <c r="B1341" s="48">
        <f t="shared" si="221"/>
        <v>75</v>
      </c>
      <c r="C1341" s="9"/>
      <c r="D1341" s="9"/>
      <c r="E1341" s="9"/>
      <c r="F1341" s="61"/>
      <c r="G1341" s="12"/>
      <c r="H1341" s="13" t="s">
        <v>654</v>
      </c>
      <c r="I1341" s="62"/>
      <c r="J1341" s="62"/>
      <c r="K1341" s="62"/>
      <c r="L1341" s="62"/>
      <c r="M1341" s="83">
        <v>3500</v>
      </c>
      <c r="N1341" s="83"/>
      <c r="O1341" s="83">
        <f t="shared" si="211"/>
        <v>3500</v>
      </c>
      <c r="P1341" s="63"/>
      <c r="Q1341" s="85">
        <f t="shared" si="222"/>
        <v>3500</v>
      </c>
      <c r="R1341" s="85">
        <f t="shared" si="223"/>
        <v>0</v>
      </c>
      <c r="S1341" s="85">
        <f t="shared" si="224"/>
        <v>3500</v>
      </c>
    </row>
    <row r="1342" spans="2:19" ht="15" x14ac:dyDescent="0.25">
      <c r="B1342" s="48">
        <f t="shared" si="221"/>
        <v>76</v>
      </c>
      <c r="C1342" s="69"/>
      <c r="D1342" s="69">
        <v>5</v>
      </c>
      <c r="E1342" s="433" t="s">
        <v>248</v>
      </c>
      <c r="F1342" s="434"/>
      <c r="G1342" s="434"/>
      <c r="H1342" s="434"/>
      <c r="I1342" s="70">
        <f>I1343</f>
        <v>1000</v>
      </c>
      <c r="J1342" s="70">
        <f>J1343</f>
        <v>0</v>
      </c>
      <c r="K1342" s="70">
        <f t="shared" si="210"/>
        <v>1000</v>
      </c>
      <c r="L1342" s="58"/>
      <c r="M1342" s="70"/>
      <c r="N1342" s="70"/>
      <c r="O1342" s="70">
        <f t="shared" si="211"/>
        <v>0</v>
      </c>
      <c r="P1342" s="59"/>
      <c r="Q1342" s="71">
        <f t="shared" si="215"/>
        <v>1000</v>
      </c>
      <c r="R1342" s="71">
        <f t="shared" si="216"/>
        <v>0</v>
      </c>
      <c r="S1342" s="71">
        <f t="shared" si="217"/>
        <v>1000</v>
      </c>
    </row>
    <row r="1343" spans="2:19" ht="15" x14ac:dyDescent="0.25">
      <c r="B1343" s="48">
        <f t="shared" si="221"/>
        <v>77</v>
      </c>
      <c r="C1343" s="166"/>
      <c r="D1343" s="166"/>
      <c r="E1343" s="166">
        <v>2</v>
      </c>
      <c r="F1343" s="167"/>
      <c r="G1343" s="167"/>
      <c r="H1343" s="166" t="s">
        <v>11</v>
      </c>
      <c r="I1343" s="168">
        <f>I1344</f>
        <v>1000</v>
      </c>
      <c r="J1343" s="168">
        <f>J1344</f>
        <v>0</v>
      </c>
      <c r="K1343" s="168">
        <f t="shared" si="210"/>
        <v>1000</v>
      </c>
      <c r="L1343" s="58"/>
      <c r="M1343" s="168"/>
      <c r="N1343" s="168"/>
      <c r="O1343" s="168">
        <f t="shared" si="211"/>
        <v>0</v>
      </c>
      <c r="P1343" s="59"/>
      <c r="Q1343" s="169">
        <f t="shared" ref="Q1343:Q1376" si="225">I1343+M1343</f>
        <v>1000</v>
      </c>
      <c r="R1343" s="169">
        <f t="shared" ref="R1343:R1376" si="226">J1343+N1343</f>
        <v>0</v>
      </c>
      <c r="S1343" s="169">
        <f t="shared" ref="S1343:S1376" si="227">K1343+O1343</f>
        <v>1000</v>
      </c>
    </row>
    <row r="1344" spans="2:19" x14ac:dyDescent="0.2">
      <c r="B1344" s="48">
        <f t="shared" si="221"/>
        <v>78</v>
      </c>
      <c r="C1344" s="9"/>
      <c r="D1344" s="9"/>
      <c r="E1344" s="9"/>
      <c r="F1344" s="61" t="s">
        <v>180</v>
      </c>
      <c r="G1344" s="8">
        <v>630</v>
      </c>
      <c r="H1344" s="9" t="s">
        <v>122</v>
      </c>
      <c r="I1344" s="62">
        <f>SUM(I1345:I1345)</f>
        <v>1000</v>
      </c>
      <c r="J1344" s="62">
        <f>SUM(J1345:J1345)</f>
        <v>0</v>
      </c>
      <c r="K1344" s="62">
        <f t="shared" si="210"/>
        <v>1000</v>
      </c>
      <c r="L1344" s="62"/>
      <c r="M1344" s="62"/>
      <c r="N1344" s="62"/>
      <c r="O1344" s="62">
        <f t="shared" si="211"/>
        <v>0</v>
      </c>
      <c r="P1344" s="63"/>
      <c r="Q1344" s="64">
        <f t="shared" si="225"/>
        <v>1000</v>
      </c>
      <c r="R1344" s="64">
        <f t="shared" si="226"/>
        <v>0</v>
      </c>
      <c r="S1344" s="64">
        <f t="shared" si="227"/>
        <v>1000</v>
      </c>
    </row>
    <row r="1345" spans="2:19" x14ac:dyDescent="0.2">
      <c r="B1345" s="48">
        <f t="shared" si="221"/>
        <v>79</v>
      </c>
      <c r="C1345" s="11"/>
      <c r="D1345" s="11"/>
      <c r="E1345" s="11"/>
      <c r="F1345" s="65"/>
      <c r="G1345" s="10">
        <v>637</v>
      </c>
      <c r="H1345" s="11" t="s">
        <v>123</v>
      </c>
      <c r="I1345" s="66">
        <v>1000</v>
      </c>
      <c r="J1345" s="66"/>
      <c r="K1345" s="66">
        <f t="shared" si="210"/>
        <v>1000</v>
      </c>
      <c r="L1345" s="66"/>
      <c r="M1345" s="66"/>
      <c r="N1345" s="66"/>
      <c r="O1345" s="66">
        <f t="shared" si="211"/>
        <v>0</v>
      </c>
      <c r="P1345" s="67"/>
      <c r="Q1345" s="68">
        <f t="shared" si="225"/>
        <v>1000</v>
      </c>
      <c r="R1345" s="68">
        <f t="shared" si="226"/>
        <v>0</v>
      </c>
      <c r="S1345" s="68">
        <f t="shared" si="227"/>
        <v>1000</v>
      </c>
    </row>
    <row r="1346" spans="2:19" ht="15" x14ac:dyDescent="0.2">
      <c r="B1346" s="48">
        <f t="shared" si="221"/>
        <v>80</v>
      </c>
      <c r="C1346" s="51">
        <v>4</v>
      </c>
      <c r="D1346" s="435" t="s">
        <v>267</v>
      </c>
      <c r="E1346" s="436"/>
      <c r="F1346" s="436"/>
      <c r="G1346" s="436"/>
      <c r="H1346" s="436"/>
      <c r="I1346" s="52">
        <f>I1375</f>
        <v>176215</v>
      </c>
      <c r="J1346" s="52">
        <f>J1375</f>
        <v>0</v>
      </c>
      <c r="K1346" s="52">
        <f t="shared" si="210"/>
        <v>176215</v>
      </c>
      <c r="L1346" s="53"/>
      <c r="M1346" s="52">
        <f>M1347+M1359</f>
        <v>36561542</v>
      </c>
      <c r="N1346" s="52">
        <f>N1347+N1359</f>
        <v>-247500</v>
      </c>
      <c r="O1346" s="52">
        <f t="shared" si="211"/>
        <v>36314042</v>
      </c>
      <c r="P1346" s="54"/>
      <c r="Q1346" s="72">
        <f t="shared" si="225"/>
        <v>36737757</v>
      </c>
      <c r="R1346" s="72">
        <f t="shared" si="226"/>
        <v>-247500</v>
      </c>
      <c r="S1346" s="72">
        <f t="shared" si="227"/>
        <v>36490257</v>
      </c>
    </row>
    <row r="1347" spans="2:19" x14ac:dyDescent="0.2">
      <c r="B1347" s="48">
        <f t="shared" si="221"/>
        <v>81</v>
      </c>
      <c r="C1347" s="170"/>
      <c r="D1347" s="170"/>
      <c r="E1347" s="170"/>
      <c r="F1347" s="171" t="s">
        <v>193</v>
      </c>
      <c r="G1347" s="172">
        <v>716</v>
      </c>
      <c r="H1347" s="170" t="s">
        <v>216</v>
      </c>
      <c r="I1347" s="173"/>
      <c r="J1347" s="173"/>
      <c r="K1347" s="173">
        <f t="shared" si="210"/>
        <v>0</v>
      </c>
      <c r="L1347" s="66"/>
      <c r="M1347" s="173">
        <f>SUM(M1348:M1358)</f>
        <v>334984</v>
      </c>
      <c r="N1347" s="173">
        <f>SUM(N1348:N1358)</f>
        <v>0</v>
      </c>
      <c r="O1347" s="173">
        <f t="shared" si="211"/>
        <v>334984</v>
      </c>
      <c r="P1347" s="67"/>
      <c r="Q1347" s="174">
        <f t="shared" si="225"/>
        <v>334984</v>
      </c>
      <c r="R1347" s="174">
        <f t="shared" si="226"/>
        <v>0</v>
      </c>
      <c r="S1347" s="174">
        <f t="shared" si="227"/>
        <v>334984</v>
      </c>
    </row>
    <row r="1348" spans="2:19" x14ac:dyDescent="0.2">
      <c r="B1348" s="48">
        <f t="shared" ref="B1348:B1380" si="228">B1347+1</f>
        <v>82</v>
      </c>
      <c r="C1348" s="81"/>
      <c r="D1348" s="81"/>
      <c r="E1348" s="81"/>
      <c r="F1348" s="12"/>
      <c r="G1348" s="12"/>
      <c r="H1348" s="13" t="s">
        <v>554</v>
      </c>
      <c r="I1348" s="83"/>
      <c r="J1348" s="83"/>
      <c r="K1348" s="83">
        <f t="shared" ref="K1348:K1385" si="229">I1348+J1348</f>
        <v>0</v>
      </c>
      <c r="L1348" s="211"/>
      <c r="M1348" s="211">
        <v>2500</v>
      </c>
      <c r="N1348" s="211"/>
      <c r="O1348" s="211">
        <f t="shared" ref="O1348:O1385" si="230">M1348+N1348</f>
        <v>2500</v>
      </c>
      <c r="P1348" s="84"/>
      <c r="Q1348" s="85">
        <f t="shared" si="225"/>
        <v>2500</v>
      </c>
      <c r="R1348" s="85">
        <f t="shared" si="226"/>
        <v>0</v>
      </c>
      <c r="S1348" s="85">
        <f t="shared" si="227"/>
        <v>2500</v>
      </c>
    </row>
    <row r="1349" spans="2:19" x14ac:dyDescent="0.2">
      <c r="B1349" s="48">
        <f t="shared" si="228"/>
        <v>83</v>
      </c>
      <c r="C1349" s="81"/>
      <c r="D1349" s="81"/>
      <c r="E1349" s="81"/>
      <c r="F1349" s="12"/>
      <c r="G1349" s="12"/>
      <c r="H1349" s="13" t="s">
        <v>647</v>
      </c>
      <c r="I1349" s="83"/>
      <c r="J1349" s="83"/>
      <c r="K1349" s="83">
        <f t="shared" si="229"/>
        <v>0</v>
      </c>
      <c r="L1349" s="211"/>
      <c r="M1349" s="211">
        <v>26000</v>
      </c>
      <c r="N1349" s="211"/>
      <c r="O1349" s="211">
        <f t="shared" si="230"/>
        <v>26000</v>
      </c>
      <c r="P1349" s="84"/>
      <c r="Q1349" s="85">
        <f t="shared" ref="Q1349" si="231">I1349+M1349</f>
        <v>26000</v>
      </c>
      <c r="R1349" s="85">
        <f t="shared" ref="R1349" si="232">J1349+N1349</f>
        <v>0</v>
      </c>
      <c r="S1349" s="85">
        <f t="shared" ref="S1349" si="233">K1349+O1349</f>
        <v>26000</v>
      </c>
    </row>
    <row r="1350" spans="2:19" x14ac:dyDescent="0.2">
      <c r="B1350" s="48">
        <f t="shared" si="228"/>
        <v>84</v>
      </c>
      <c r="C1350" s="81"/>
      <c r="D1350" s="81"/>
      <c r="E1350" s="81"/>
      <c r="F1350" s="12"/>
      <c r="G1350" s="12"/>
      <c r="H1350" s="13" t="s">
        <v>492</v>
      </c>
      <c r="I1350" s="83"/>
      <c r="J1350" s="83"/>
      <c r="K1350" s="83">
        <f t="shared" si="229"/>
        <v>0</v>
      </c>
      <c r="L1350" s="211"/>
      <c r="M1350" s="211">
        <v>30000</v>
      </c>
      <c r="N1350" s="211"/>
      <c r="O1350" s="211">
        <f t="shared" si="230"/>
        <v>30000</v>
      </c>
      <c r="P1350" s="84"/>
      <c r="Q1350" s="85">
        <f t="shared" si="225"/>
        <v>30000</v>
      </c>
      <c r="R1350" s="85">
        <f t="shared" si="226"/>
        <v>0</v>
      </c>
      <c r="S1350" s="85">
        <f t="shared" si="227"/>
        <v>30000</v>
      </c>
    </row>
    <row r="1351" spans="2:19" x14ac:dyDescent="0.2">
      <c r="B1351" s="48">
        <f t="shared" si="228"/>
        <v>85</v>
      </c>
      <c r="C1351" s="81"/>
      <c r="D1351" s="81"/>
      <c r="E1351" s="81"/>
      <c r="F1351" s="12"/>
      <c r="G1351" s="12"/>
      <c r="H1351" s="13" t="s">
        <v>470</v>
      </c>
      <c r="I1351" s="83"/>
      <c r="J1351" s="83"/>
      <c r="K1351" s="83">
        <f t="shared" si="229"/>
        <v>0</v>
      </c>
      <c r="L1351" s="211"/>
      <c r="M1351" s="211">
        <v>40000</v>
      </c>
      <c r="N1351" s="211"/>
      <c r="O1351" s="211">
        <f t="shared" si="230"/>
        <v>40000</v>
      </c>
      <c r="P1351" s="84"/>
      <c r="Q1351" s="85">
        <f t="shared" si="225"/>
        <v>40000</v>
      </c>
      <c r="R1351" s="85">
        <f t="shared" si="226"/>
        <v>0</v>
      </c>
      <c r="S1351" s="85">
        <f t="shared" si="227"/>
        <v>40000</v>
      </c>
    </row>
    <row r="1352" spans="2:19" x14ac:dyDescent="0.2">
      <c r="B1352" s="48">
        <f t="shared" si="228"/>
        <v>86</v>
      </c>
      <c r="C1352" s="81"/>
      <c r="D1352" s="81"/>
      <c r="E1352" s="81"/>
      <c r="F1352" s="12"/>
      <c r="G1352" s="12"/>
      <c r="H1352" s="13" t="s">
        <v>404</v>
      </c>
      <c r="I1352" s="83"/>
      <c r="J1352" s="83"/>
      <c r="K1352" s="83">
        <f t="shared" si="229"/>
        <v>0</v>
      </c>
      <c r="L1352" s="211"/>
      <c r="M1352" s="211">
        <v>37241</v>
      </c>
      <c r="N1352" s="211"/>
      <c r="O1352" s="211">
        <f t="shared" si="230"/>
        <v>37241</v>
      </c>
      <c r="P1352" s="84"/>
      <c r="Q1352" s="85">
        <f t="shared" si="225"/>
        <v>37241</v>
      </c>
      <c r="R1352" s="85">
        <f t="shared" si="226"/>
        <v>0</v>
      </c>
      <c r="S1352" s="85">
        <f t="shared" si="227"/>
        <v>37241</v>
      </c>
    </row>
    <row r="1353" spans="2:19" x14ac:dyDescent="0.2">
      <c r="B1353" s="48">
        <f t="shared" si="228"/>
        <v>87</v>
      </c>
      <c r="C1353" s="81"/>
      <c r="D1353" s="81"/>
      <c r="E1353" s="81"/>
      <c r="F1353" s="12"/>
      <c r="G1353" s="12"/>
      <c r="H1353" s="13" t="s">
        <v>461</v>
      </c>
      <c r="I1353" s="83"/>
      <c r="J1353" s="83"/>
      <c r="K1353" s="83">
        <f t="shared" si="229"/>
        <v>0</v>
      </c>
      <c r="L1353" s="211"/>
      <c r="M1353" s="211">
        <v>62000</v>
      </c>
      <c r="N1353" s="211"/>
      <c r="O1353" s="211">
        <f t="shared" si="230"/>
        <v>62000</v>
      </c>
      <c r="P1353" s="84"/>
      <c r="Q1353" s="85">
        <f t="shared" si="225"/>
        <v>62000</v>
      </c>
      <c r="R1353" s="85">
        <f t="shared" si="226"/>
        <v>0</v>
      </c>
      <c r="S1353" s="85">
        <f t="shared" si="227"/>
        <v>62000</v>
      </c>
    </row>
    <row r="1354" spans="2:19" x14ac:dyDescent="0.2">
      <c r="B1354" s="48">
        <f t="shared" si="228"/>
        <v>88</v>
      </c>
      <c r="C1354" s="81"/>
      <c r="D1354" s="81"/>
      <c r="E1354" s="81"/>
      <c r="F1354" s="12"/>
      <c r="G1354" s="12"/>
      <c r="H1354" s="13" t="s">
        <v>445</v>
      </c>
      <c r="I1354" s="83"/>
      <c r="J1354" s="83"/>
      <c r="K1354" s="83">
        <f t="shared" si="229"/>
        <v>0</v>
      </c>
      <c r="L1354" s="211"/>
      <c r="M1354" s="211">
        <v>35743</v>
      </c>
      <c r="N1354" s="211"/>
      <c r="O1354" s="211">
        <f t="shared" si="230"/>
        <v>35743</v>
      </c>
      <c r="P1354" s="84"/>
      <c r="Q1354" s="85">
        <f t="shared" si="225"/>
        <v>35743</v>
      </c>
      <c r="R1354" s="85">
        <f t="shared" si="226"/>
        <v>0</v>
      </c>
      <c r="S1354" s="85">
        <f t="shared" si="227"/>
        <v>35743</v>
      </c>
    </row>
    <row r="1355" spans="2:19" x14ac:dyDescent="0.2">
      <c r="B1355" s="48">
        <f t="shared" si="228"/>
        <v>89</v>
      </c>
      <c r="C1355" s="81"/>
      <c r="D1355" s="81"/>
      <c r="E1355" s="81"/>
      <c r="F1355" s="12"/>
      <c r="G1355" s="12"/>
      <c r="H1355" s="13" t="s">
        <v>562</v>
      </c>
      <c r="I1355" s="83"/>
      <c r="J1355" s="83"/>
      <c r="K1355" s="83">
        <f t="shared" si="229"/>
        <v>0</v>
      </c>
      <c r="L1355" s="211"/>
      <c r="M1355" s="211">
        <v>46000</v>
      </c>
      <c r="N1355" s="211"/>
      <c r="O1355" s="211">
        <f t="shared" si="230"/>
        <v>46000</v>
      </c>
      <c r="P1355" s="84"/>
      <c r="Q1355" s="85">
        <f t="shared" si="225"/>
        <v>46000</v>
      </c>
      <c r="R1355" s="85">
        <f t="shared" si="226"/>
        <v>0</v>
      </c>
      <c r="S1355" s="85">
        <f t="shared" si="227"/>
        <v>46000</v>
      </c>
    </row>
    <row r="1356" spans="2:19" x14ac:dyDescent="0.2">
      <c r="B1356" s="48">
        <f t="shared" si="228"/>
        <v>90</v>
      </c>
      <c r="C1356" s="81"/>
      <c r="D1356" s="81"/>
      <c r="E1356" s="81"/>
      <c r="F1356" s="12"/>
      <c r="G1356" s="12"/>
      <c r="H1356" s="13" t="s">
        <v>274</v>
      </c>
      <c r="I1356" s="83"/>
      <c r="J1356" s="83"/>
      <c r="K1356" s="83">
        <f t="shared" si="229"/>
        <v>0</v>
      </c>
      <c r="L1356" s="211"/>
      <c r="M1356" s="211">
        <v>20000</v>
      </c>
      <c r="N1356" s="211"/>
      <c r="O1356" s="211">
        <f t="shared" si="230"/>
        <v>20000</v>
      </c>
      <c r="P1356" s="84"/>
      <c r="Q1356" s="85">
        <f t="shared" si="225"/>
        <v>20000</v>
      </c>
      <c r="R1356" s="85">
        <f t="shared" si="226"/>
        <v>0</v>
      </c>
      <c r="S1356" s="85">
        <f t="shared" si="227"/>
        <v>20000</v>
      </c>
    </row>
    <row r="1357" spans="2:19" x14ac:dyDescent="0.2">
      <c r="B1357" s="48">
        <f t="shared" si="228"/>
        <v>91</v>
      </c>
      <c r="C1357" s="81"/>
      <c r="D1357" s="81"/>
      <c r="E1357" s="81"/>
      <c r="F1357" s="12"/>
      <c r="G1357" s="12"/>
      <c r="H1357" s="13" t="s">
        <v>462</v>
      </c>
      <c r="I1357" s="83"/>
      <c r="J1357" s="83"/>
      <c r="K1357" s="83">
        <f t="shared" si="229"/>
        <v>0</v>
      </c>
      <c r="L1357" s="211"/>
      <c r="M1357" s="211">
        <v>25500</v>
      </c>
      <c r="N1357" s="211"/>
      <c r="O1357" s="211">
        <f t="shared" si="230"/>
        <v>25500</v>
      </c>
      <c r="P1357" s="84"/>
      <c r="Q1357" s="85">
        <f t="shared" si="225"/>
        <v>25500</v>
      </c>
      <c r="R1357" s="85">
        <f t="shared" si="226"/>
        <v>0</v>
      </c>
      <c r="S1357" s="85">
        <f t="shared" si="227"/>
        <v>25500</v>
      </c>
    </row>
    <row r="1358" spans="2:19" x14ac:dyDescent="0.2">
      <c r="B1358" s="48">
        <f t="shared" si="228"/>
        <v>92</v>
      </c>
      <c r="C1358" s="81"/>
      <c r="D1358" s="81"/>
      <c r="E1358" s="81"/>
      <c r="F1358" s="12"/>
      <c r="G1358" s="12"/>
      <c r="H1358" s="13" t="s">
        <v>553</v>
      </c>
      <c r="I1358" s="83"/>
      <c r="J1358" s="83"/>
      <c r="K1358" s="83">
        <f t="shared" si="229"/>
        <v>0</v>
      </c>
      <c r="L1358" s="211"/>
      <c r="M1358" s="211">
        <v>10000</v>
      </c>
      <c r="N1358" s="211"/>
      <c r="O1358" s="211">
        <f t="shared" si="230"/>
        <v>10000</v>
      </c>
      <c r="P1358" s="84"/>
      <c r="Q1358" s="85">
        <f t="shared" si="225"/>
        <v>10000</v>
      </c>
      <c r="R1358" s="85">
        <f t="shared" si="226"/>
        <v>0</v>
      </c>
      <c r="S1358" s="85">
        <f t="shared" si="227"/>
        <v>10000</v>
      </c>
    </row>
    <row r="1359" spans="2:19" x14ac:dyDescent="0.2">
      <c r="B1359" s="48">
        <f t="shared" si="228"/>
        <v>93</v>
      </c>
      <c r="C1359" s="170"/>
      <c r="D1359" s="170"/>
      <c r="E1359" s="170"/>
      <c r="F1359" s="171" t="s">
        <v>193</v>
      </c>
      <c r="G1359" s="172">
        <v>717</v>
      </c>
      <c r="H1359" s="170" t="s">
        <v>183</v>
      </c>
      <c r="I1359" s="173"/>
      <c r="J1359" s="173"/>
      <c r="K1359" s="173">
        <f t="shared" si="229"/>
        <v>0</v>
      </c>
      <c r="L1359" s="66"/>
      <c r="M1359" s="173">
        <f>SUM(M1360:M1374)</f>
        <v>36226558</v>
      </c>
      <c r="N1359" s="173">
        <f>SUM(N1360:N1374)</f>
        <v>-247500</v>
      </c>
      <c r="O1359" s="173">
        <f t="shared" si="230"/>
        <v>35979058</v>
      </c>
      <c r="P1359" s="67"/>
      <c r="Q1359" s="174">
        <f t="shared" si="225"/>
        <v>36226558</v>
      </c>
      <c r="R1359" s="174">
        <f t="shared" si="226"/>
        <v>-247500</v>
      </c>
      <c r="S1359" s="174">
        <f t="shared" si="227"/>
        <v>35979058</v>
      </c>
    </row>
    <row r="1360" spans="2:19" x14ac:dyDescent="0.2">
      <c r="B1360" s="48">
        <f t="shared" si="228"/>
        <v>94</v>
      </c>
      <c r="C1360" s="81"/>
      <c r="D1360" s="81"/>
      <c r="E1360" s="81"/>
      <c r="F1360" s="12"/>
      <c r="G1360" s="12"/>
      <c r="H1360" s="13" t="s">
        <v>574</v>
      </c>
      <c r="I1360" s="83"/>
      <c r="J1360" s="83"/>
      <c r="K1360" s="83">
        <f t="shared" si="229"/>
        <v>0</v>
      </c>
      <c r="L1360" s="211"/>
      <c r="M1360" s="211">
        <v>25458</v>
      </c>
      <c r="N1360" s="211"/>
      <c r="O1360" s="211">
        <f t="shared" si="230"/>
        <v>25458</v>
      </c>
      <c r="P1360" s="84"/>
      <c r="Q1360" s="85">
        <f t="shared" si="225"/>
        <v>25458</v>
      </c>
      <c r="R1360" s="85">
        <f t="shared" si="226"/>
        <v>0</v>
      </c>
      <c r="S1360" s="85">
        <f t="shared" si="227"/>
        <v>25458</v>
      </c>
    </row>
    <row r="1361" spans="2:19" x14ac:dyDescent="0.2">
      <c r="B1361" s="48">
        <f t="shared" si="228"/>
        <v>95</v>
      </c>
      <c r="C1361" s="81"/>
      <c r="D1361" s="81"/>
      <c r="E1361" s="81"/>
      <c r="F1361" s="12"/>
      <c r="G1361" s="12"/>
      <c r="H1361" s="13" t="s">
        <v>538</v>
      </c>
      <c r="I1361" s="83"/>
      <c r="J1361" s="83"/>
      <c r="K1361" s="83">
        <f t="shared" si="229"/>
        <v>0</v>
      </c>
      <c r="L1361" s="211"/>
      <c r="M1361" s="211">
        <v>12500</v>
      </c>
      <c r="N1361" s="211"/>
      <c r="O1361" s="211">
        <f t="shared" si="230"/>
        <v>12500</v>
      </c>
      <c r="P1361" s="84"/>
      <c r="Q1361" s="85">
        <f t="shared" si="225"/>
        <v>12500</v>
      </c>
      <c r="R1361" s="85">
        <f t="shared" si="226"/>
        <v>0</v>
      </c>
      <c r="S1361" s="85">
        <f t="shared" si="227"/>
        <v>12500</v>
      </c>
    </row>
    <row r="1362" spans="2:19" x14ac:dyDescent="0.2">
      <c r="B1362" s="48">
        <f t="shared" si="228"/>
        <v>96</v>
      </c>
      <c r="C1362" s="81"/>
      <c r="D1362" s="81"/>
      <c r="E1362" s="81"/>
      <c r="F1362" s="12"/>
      <c r="G1362" s="12"/>
      <c r="H1362" s="13" t="s">
        <v>479</v>
      </c>
      <c r="I1362" s="83"/>
      <c r="J1362" s="83"/>
      <c r="K1362" s="83">
        <f t="shared" si="229"/>
        <v>0</v>
      </c>
      <c r="L1362" s="211"/>
      <c r="M1362" s="211">
        <v>720000</v>
      </c>
      <c r="N1362" s="211"/>
      <c r="O1362" s="211">
        <f t="shared" si="230"/>
        <v>720000</v>
      </c>
      <c r="P1362" s="84"/>
      <c r="Q1362" s="85">
        <f t="shared" si="225"/>
        <v>720000</v>
      </c>
      <c r="R1362" s="85">
        <f t="shared" si="226"/>
        <v>0</v>
      </c>
      <c r="S1362" s="85">
        <f t="shared" si="227"/>
        <v>720000</v>
      </c>
    </row>
    <row r="1363" spans="2:19" x14ac:dyDescent="0.2">
      <c r="B1363" s="48">
        <f t="shared" si="228"/>
        <v>97</v>
      </c>
      <c r="C1363" s="81"/>
      <c r="D1363" s="81"/>
      <c r="E1363" s="81"/>
      <c r="F1363" s="12"/>
      <c r="G1363" s="12"/>
      <c r="H1363" s="13" t="s">
        <v>523</v>
      </c>
      <c r="I1363" s="83"/>
      <c r="J1363" s="83"/>
      <c r="K1363" s="83">
        <f t="shared" si="229"/>
        <v>0</v>
      </c>
      <c r="L1363" s="211"/>
      <c r="M1363" s="211">
        <v>9300</v>
      </c>
      <c r="N1363" s="211">
        <v>2500</v>
      </c>
      <c r="O1363" s="211">
        <f t="shared" si="230"/>
        <v>11800</v>
      </c>
      <c r="P1363" s="84"/>
      <c r="Q1363" s="85">
        <f t="shared" si="225"/>
        <v>9300</v>
      </c>
      <c r="R1363" s="85">
        <f t="shared" si="226"/>
        <v>2500</v>
      </c>
      <c r="S1363" s="85">
        <f t="shared" si="227"/>
        <v>11800</v>
      </c>
    </row>
    <row r="1364" spans="2:19" x14ac:dyDescent="0.2">
      <c r="B1364" s="48">
        <f t="shared" si="228"/>
        <v>98</v>
      </c>
      <c r="C1364" s="81"/>
      <c r="D1364" s="81"/>
      <c r="E1364" s="81"/>
      <c r="F1364" s="12"/>
      <c r="G1364" s="12"/>
      <c r="H1364" s="13" t="s">
        <v>445</v>
      </c>
      <c r="I1364" s="83"/>
      <c r="J1364" s="83"/>
      <c r="K1364" s="83">
        <f t="shared" si="229"/>
        <v>0</v>
      </c>
      <c r="L1364" s="211"/>
      <c r="M1364" s="211">
        <v>1700000</v>
      </c>
      <c r="N1364" s="211"/>
      <c r="O1364" s="211">
        <f t="shared" si="230"/>
        <v>1700000</v>
      </c>
      <c r="P1364" s="84"/>
      <c r="Q1364" s="85">
        <f t="shared" si="225"/>
        <v>1700000</v>
      </c>
      <c r="R1364" s="85">
        <f t="shared" si="226"/>
        <v>0</v>
      </c>
      <c r="S1364" s="85">
        <f t="shared" si="227"/>
        <v>1700000</v>
      </c>
    </row>
    <row r="1365" spans="2:19" x14ac:dyDescent="0.2">
      <c r="B1365" s="48">
        <f t="shared" si="228"/>
        <v>99</v>
      </c>
      <c r="C1365" s="81"/>
      <c r="D1365" s="81"/>
      <c r="E1365" s="81"/>
      <c r="F1365" s="12"/>
      <c r="G1365" s="12"/>
      <c r="H1365" s="13" t="s">
        <v>498</v>
      </c>
      <c r="I1365" s="83"/>
      <c r="J1365" s="83"/>
      <c r="K1365" s="83">
        <f t="shared" si="229"/>
        <v>0</v>
      </c>
      <c r="L1365" s="211"/>
      <c r="M1365" s="211">
        <v>9700000</v>
      </c>
      <c r="N1365" s="211"/>
      <c r="O1365" s="211">
        <f t="shared" si="230"/>
        <v>9700000</v>
      </c>
      <c r="P1365" s="84"/>
      <c r="Q1365" s="85">
        <f t="shared" si="225"/>
        <v>9700000</v>
      </c>
      <c r="R1365" s="85">
        <f t="shared" si="226"/>
        <v>0</v>
      </c>
      <c r="S1365" s="85">
        <f t="shared" si="227"/>
        <v>9700000</v>
      </c>
    </row>
    <row r="1366" spans="2:19" x14ac:dyDescent="0.2">
      <c r="B1366" s="48">
        <f t="shared" si="228"/>
        <v>100</v>
      </c>
      <c r="C1366" s="81"/>
      <c r="D1366" s="81"/>
      <c r="E1366" s="81"/>
      <c r="F1366" s="12"/>
      <c r="G1366" s="12"/>
      <c r="H1366" s="13" t="s">
        <v>444</v>
      </c>
      <c r="I1366" s="83"/>
      <c r="J1366" s="83"/>
      <c r="K1366" s="83">
        <f t="shared" si="229"/>
        <v>0</v>
      </c>
      <c r="L1366" s="211"/>
      <c r="M1366" s="211">
        <v>850000</v>
      </c>
      <c r="N1366" s="211">
        <v>230000</v>
      </c>
      <c r="O1366" s="211">
        <f t="shared" si="230"/>
        <v>1080000</v>
      </c>
      <c r="P1366" s="84"/>
      <c r="Q1366" s="85">
        <f t="shared" si="225"/>
        <v>850000</v>
      </c>
      <c r="R1366" s="85">
        <f t="shared" si="226"/>
        <v>230000</v>
      </c>
      <c r="S1366" s="85">
        <f t="shared" si="227"/>
        <v>1080000</v>
      </c>
    </row>
    <row r="1367" spans="2:19" x14ac:dyDescent="0.2">
      <c r="B1367" s="48">
        <f t="shared" si="228"/>
        <v>101</v>
      </c>
      <c r="C1367" s="81"/>
      <c r="D1367" s="81"/>
      <c r="E1367" s="81"/>
      <c r="F1367" s="12"/>
      <c r="G1367" s="12"/>
      <c r="H1367" s="13" t="s">
        <v>499</v>
      </c>
      <c r="I1367" s="83"/>
      <c r="J1367" s="83"/>
      <c r="K1367" s="83">
        <f t="shared" si="229"/>
        <v>0</v>
      </c>
      <c r="L1367" s="211"/>
      <c r="M1367" s="211">
        <v>2000000</v>
      </c>
      <c r="N1367" s="211"/>
      <c r="O1367" s="211">
        <f t="shared" si="230"/>
        <v>2000000</v>
      </c>
      <c r="P1367" s="84"/>
      <c r="Q1367" s="85">
        <f t="shared" si="225"/>
        <v>2000000</v>
      </c>
      <c r="R1367" s="85">
        <f t="shared" si="226"/>
        <v>0</v>
      </c>
      <c r="S1367" s="85">
        <f t="shared" si="227"/>
        <v>2000000</v>
      </c>
    </row>
    <row r="1368" spans="2:19" x14ac:dyDescent="0.2">
      <c r="B1368" s="48">
        <f t="shared" si="228"/>
        <v>102</v>
      </c>
      <c r="C1368" s="81"/>
      <c r="D1368" s="81"/>
      <c r="E1368" s="81"/>
      <c r="F1368" s="12"/>
      <c r="G1368" s="12"/>
      <c r="H1368" s="13" t="s">
        <v>402</v>
      </c>
      <c r="I1368" s="83"/>
      <c r="J1368" s="83"/>
      <c r="K1368" s="83">
        <f t="shared" si="229"/>
        <v>0</v>
      </c>
      <c r="L1368" s="211"/>
      <c r="M1368" s="211">
        <f>135000+27000</f>
        <v>162000</v>
      </c>
      <c r="N1368" s="211"/>
      <c r="O1368" s="211">
        <f t="shared" si="230"/>
        <v>162000</v>
      </c>
      <c r="P1368" s="84"/>
      <c r="Q1368" s="85">
        <f t="shared" si="225"/>
        <v>162000</v>
      </c>
      <c r="R1368" s="85">
        <f t="shared" si="226"/>
        <v>0</v>
      </c>
      <c r="S1368" s="85">
        <f t="shared" si="227"/>
        <v>162000</v>
      </c>
    </row>
    <row r="1369" spans="2:19" x14ac:dyDescent="0.2">
      <c r="B1369" s="48">
        <f t="shared" si="228"/>
        <v>103</v>
      </c>
      <c r="C1369" s="81"/>
      <c r="D1369" s="81"/>
      <c r="E1369" s="81"/>
      <c r="F1369" s="12"/>
      <c r="G1369" s="12"/>
      <c r="H1369" s="13" t="s">
        <v>491</v>
      </c>
      <c r="I1369" s="83"/>
      <c r="J1369" s="83"/>
      <c r="K1369" s="83">
        <f t="shared" si="229"/>
        <v>0</v>
      </c>
      <c r="L1369" s="211"/>
      <c r="M1369" s="211">
        <v>2880000</v>
      </c>
      <c r="N1369" s="211">
        <v>-480000</v>
      </c>
      <c r="O1369" s="211">
        <f t="shared" si="230"/>
        <v>2400000</v>
      </c>
      <c r="P1369" s="84"/>
      <c r="Q1369" s="85">
        <f t="shared" si="225"/>
        <v>2880000</v>
      </c>
      <c r="R1369" s="85">
        <f t="shared" si="226"/>
        <v>-480000</v>
      </c>
      <c r="S1369" s="85">
        <f t="shared" si="227"/>
        <v>2400000</v>
      </c>
    </row>
    <row r="1370" spans="2:19" s="79" customFormat="1" ht="24" x14ac:dyDescent="0.2">
      <c r="B1370" s="48">
        <f t="shared" si="228"/>
        <v>104</v>
      </c>
      <c r="C1370" s="73"/>
      <c r="D1370" s="73"/>
      <c r="E1370" s="73"/>
      <c r="F1370" s="212"/>
      <c r="G1370" s="212"/>
      <c r="H1370" s="75" t="s">
        <v>303</v>
      </c>
      <c r="I1370" s="76"/>
      <c r="J1370" s="76"/>
      <c r="K1370" s="76">
        <f t="shared" si="229"/>
        <v>0</v>
      </c>
      <c r="L1370" s="213"/>
      <c r="M1370" s="213">
        <v>1800000</v>
      </c>
      <c r="N1370" s="213"/>
      <c r="O1370" s="213">
        <f t="shared" si="230"/>
        <v>1800000</v>
      </c>
      <c r="P1370" s="77"/>
      <c r="Q1370" s="78">
        <f t="shared" si="225"/>
        <v>1800000</v>
      </c>
      <c r="R1370" s="78">
        <f t="shared" si="226"/>
        <v>0</v>
      </c>
      <c r="S1370" s="78">
        <f t="shared" si="227"/>
        <v>1800000</v>
      </c>
    </row>
    <row r="1371" spans="2:19" x14ac:dyDescent="0.2">
      <c r="B1371" s="48">
        <f t="shared" si="228"/>
        <v>105</v>
      </c>
      <c r="C1371" s="81"/>
      <c r="D1371" s="81"/>
      <c r="E1371" s="81"/>
      <c r="F1371" s="12"/>
      <c r="G1371" s="12"/>
      <c r="H1371" s="13" t="s">
        <v>302</v>
      </c>
      <c r="I1371" s="83"/>
      <c r="J1371" s="83"/>
      <c r="K1371" s="83">
        <f t="shared" si="229"/>
        <v>0</v>
      </c>
      <c r="L1371" s="211"/>
      <c r="M1371" s="211">
        <v>360000</v>
      </c>
      <c r="N1371" s="211"/>
      <c r="O1371" s="211">
        <f t="shared" si="230"/>
        <v>360000</v>
      </c>
      <c r="P1371" s="84"/>
      <c r="Q1371" s="85">
        <f t="shared" si="225"/>
        <v>360000</v>
      </c>
      <c r="R1371" s="85">
        <f t="shared" si="226"/>
        <v>0</v>
      </c>
      <c r="S1371" s="85">
        <f t="shared" si="227"/>
        <v>360000</v>
      </c>
    </row>
    <row r="1372" spans="2:19" x14ac:dyDescent="0.2">
      <c r="B1372" s="48">
        <f t="shared" si="228"/>
        <v>106</v>
      </c>
      <c r="C1372" s="81"/>
      <c r="D1372" s="81"/>
      <c r="E1372" s="81"/>
      <c r="F1372" s="12"/>
      <c r="G1372" s="12"/>
      <c r="H1372" s="13" t="s">
        <v>462</v>
      </c>
      <c r="I1372" s="83"/>
      <c r="J1372" s="83"/>
      <c r="K1372" s="83">
        <f t="shared" si="229"/>
        <v>0</v>
      </c>
      <c r="L1372" s="211"/>
      <c r="M1372" s="211">
        <v>1000000</v>
      </c>
      <c r="N1372" s="211"/>
      <c r="O1372" s="211">
        <f t="shared" si="230"/>
        <v>1000000</v>
      </c>
      <c r="P1372" s="84"/>
      <c r="Q1372" s="85">
        <f t="shared" si="225"/>
        <v>1000000</v>
      </c>
      <c r="R1372" s="85">
        <f t="shared" si="226"/>
        <v>0</v>
      </c>
      <c r="S1372" s="85">
        <f t="shared" si="227"/>
        <v>1000000</v>
      </c>
    </row>
    <row r="1373" spans="2:19" x14ac:dyDescent="0.2">
      <c r="B1373" s="48">
        <f t="shared" si="228"/>
        <v>107</v>
      </c>
      <c r="C1373" s="81"/>
      <c r="D1373" s="81"/>
      <c r="E1373" s="81"/>
      <c r="F1373" s="12"/>
      <c r="G1373" s="12"/>
      <c r="H1373" s="13" t="s">
        <v>642</v>
      </c>
      <c r="I1373" s="83"/>
      <c r="J1373" s="83"/>
      <c r="K1373" s="83"/>
      <c r="L1373" s="211"/>
      <c r="M1373" s="211">
        <v>7300</v>
      </c>
      <c r="N1373" s="211"/>
      <c r="O1373" s="211">
        <f t="shared" si="230"/>
        <v>7300</v>
      </c>
      <c r="P1373" s="84"/>
      <c r="Q1373" s="85">
        <f t="shared" si="225"/>
        <v>7300</v>
      </c>
      <c r="R1373" s="85"/>
      <c r="S1373" s="85">
        <f t="shared" si="227"/>
        <v>7300</v>
      </c>
    </row>
    <row r="1374" spans="2:19" x14ac:dyDescent="0.2">
      <c r="B1374" s="48">
        <f t="shared" si="228"/>
        <v>108</v>
      </c>
      <c r="C1374" s="81"/>
      <c r="D1374" s="81"/>
      <c r="E1374" s="81"/>
      <c r="F1374" s="12"/>
      <c r="G1374" s="12"/>
      <c r="H1374" s="13" t="s">
        <v>496</v>
      </c>
      <c r="I1374" s="83"/>
      <c r="J1374" s="83"/>
      <c r="K1374" s="83">
        <f t="shared" si="229"/>
        <v>0</v>
      </c>
      <c r="L1374" s="211"/>
      <c r="M1374" s="211">
        <v>15000000</v>
      </c>
      <c r="N1374" s="211"/>
      <c r="O1374" s="211">
        <f t="shared" si="230"/>
        <v>15000000</v>
      </c>
      <c r="P1374" s="84"/>
      <c r="Q1374" s="85">
        <f t="shared" si="225"/>
        <v>15000000</v>
      </c>
      <c r="R1374" s="85">
        <f t="shared" si="226"/>
        <v>0</v>
      </c>
      <c r="S1374" s="85">
        <f t="shared" si="227"/>
        <v>15000000</v>
      </c>
    </row>
    <row r="1375" spans="2:19" ht="15" x14ac:dyDescent="0.25">
      <c r="B1375" s="48">
        <f t="shared" si="228"/>
        <v>109</v>
      </c>
      <c r="C1375" s="166"/>
      <c r="D1375" s="166"/>
      <c r="E1375" s="166">
        <v>2</v>
      </c>
      <c r="F1375" s="167"/>
      <c r="G1375" s="167"/>
      <c r="H1375" s="166" t="s">
        <v>11</v>
      </c>
      <c r="I1375" s="168">
        <f>I1376+I1377+I1378+I1385</f>
        <v>176215</v>
      </c>
      <c r="J1375" s="168">
        <f>J1376+J1377+J1378+J1385</f>
        <v>0</v>
      </c>
      <c r="K1375" s="168">
        <f t="shared" si="229"/>
        <v>176215</v>
      </c>
      <c r="L1375" s="58"/>
      <c r="M1375" s="168"/>
      <c r="N1375" s="168"/>
      <c r="O1375" s="168">
        <f t="shared" si="230"/>
        <v>0</v>
      </c>
      <c r="P1375" s="59"/>
      <c r="Q1375" s="169">
        <f t="shared" si="225"/>
        <v>176215</v>
      </c>
      <c r="R1375" s="169">
        <f t="shared" si="226"/>
        <v>0</v>
      </c>
      <c r="S1375" s="169">
        <f t="shared" si="227"/>
        <v>176215</v>
      </c>
    </row>
    <row r="1376" spans="2:19" x14ac:dyDescent="0.2">
      <c r="B1376" s="48">
        <f t="shared" si="228"/>
        <v>110</v>
      </c>
      <c r="C1376" s="9"/>
      <c r="D1376" s="9"/>
      <c r="E1376" s="9"/>
      <c r="F1376" s="61" t="s">
        <v>193</v>
      </c>
      <c r="G1376" s="8">
        <v>610</v>
      </c>
      <c r="H1376" s="9" t="s">
        <v>132</v>
      </c>
      <c r="I1376" s="62">
        <v>47900</v>
      </c>
      <c r="J1376" s="62"/>
      <c r="K1376" s="62">
        <f t="shared" si="229"/>
        <v>47900</v>
      </c>
      <c r="L1376" s="62"/>
      <c r="M1376" s="62"/>
      <c r="N1376" s="62"/>
      <c r="O1376" s="62">
        <f t="shared" si="230"/>
        <v>0</v>
      </c>
      <c r="P1376" s="63"/>
      <c r="Q1376" s="64">
        <f t="shared" si="225"/>
        <v>47900</v>
      </c>
      <c r="R1376" s="64">
        <f t="shared" si="226"/>
        <v>0</v>
      </c>
      <c r="S1376" s="64">
        <f t="shared" si="227"/>
        <v>47900</v>
      </c>
    </row>
    <row r="1377" spans="2:19" x14ac:dyDescent="0.2">
      <c r="B1377" s="48">
        <f t="shared" si="228"/>
        <v>111</v>
      </c>
      <c r="C1377" s="9"/>
      <c r="D1377" s="9"/>
      <c r="E1377" s="9"/>
      <c r="F1377" s="61" t="s">
        <v>193</v>
      </c>
      <c r="G1377" s="8">
        <v>620</v>
      </c>
      <c r="H1377" s="9" t="s">
        <v>125</v>
      </c>
      <c r="I1377" s="62">
        <v>20155</v>
      </c>
      <c r="J1377" s="62"/>
      <c r="K1377" s="62">
        <f t="shared" si="229"/>
        <v>20155</v>
      </c>
      <c r="L1377" s="62"/>
      <c r="M1377" s="62"/>
      <c r="N1377" s="62"/>
      <c r="O1377" s="62">
        <f t="shared" si="230"/>
        <v>0</v>
      </c>
      <c r="P1377" s="63"/>
      <c r="Q1377" s="64">
        <f t="shared" ref="Q1377:Q1385" si="234">I1377+M1377</f>
        <v>20155</v>
      </c>
      <c r="R1377" s="64">
        <f t="shared" ref="R1377:R1385" si="235">J1377+N1377</f>
        <v>0</v>
      </c>
      <c r="S1377" s="64">
        <f t="shared" ref="S1377:S1385" si="236">K1377+O1377</f>
        <v>20155</v>
      </c>
    </row>
    <row r="1378" spans="2:19" x14ac:dyDescent="0.2">
      <c r="B1378" s="48">
        <f t="shared" si="228"/>
        <v>112</v>
      </c>
      <c r="C1378" s="9"/>
      <c r="D1378" s="9"/>
      <c r="E1378" s="9"/>
      <c r="F1378" s="61" t="s">
        <v>193</v>
      </c>
      <c r="G1378" s="8">
        <v>630</v>
      </c>
      <c r="H1378" s="9" t="s">
        <v>122</v>
      </c>
      <c r="I1378" s="62">
        <f>I1384+I1383+I1382+I1381+I1380+I1379</f>
        <v>103080</v>
      </c>
      <c r="J1378" s="62">
        <f>J1384+J1383+J1382+J1381+J1380+J1379</f>
        <v>0</v>
      </c>
      <c r="K1378" s="62">
        <f t="shared" si="229"/>
        <v>103080</v>
      </c>
      <c r="L1378" s="62"/>
      <c r="M1378" s="62"/>
      <c r="N1378" s="62"/>
      <c r="O1378" s="62">
        <f t="shared" si="230"/>
        <v>0</v>
      </c>
      <c r="P1378" s="63"/>
      <c r="Q1378" s="64">
        <f t="shared" si="234"/>
        <v>103080</v>
      </c>
      <c r="R1378" s="64">
        <f t="shared" si="235"/>
        <v>0</v>
      </c>
      <c r="S1378" s="64">
        <f t="shared" si="236"/>
        <v>103080</v>
      </c>
    </row>
    <row r="1379" spans="2:19" x14ac:dyDescent="0.2">
      <c r="B1379" s="48">
        <f t="shared" si="228"/>
        <v>113</v>
      </c>
      <c r="C1379" s="11"/>
      <c r="D1379" s="11"/>
      <c r="E1379" s="11"/>
      <c r="F1379" s="65"/>
      <c r="G1379" s="10">
        <v>632</v>
      </c>
      <c r="H1379" s="11" t="s">
        <v>135</v>
      </c>
      <c r="I1379" s="66">
        <f>2100+2000</f>
        <v>4100</v>
      </c>
      <c r="J1379" s="66"/>
      <c r="K1379" s="66">
        <f t="shared" si="229"/>
        <v>4100</v>
      </c>
      <c r="L1379" s="66"/>
      <c r="M1379" s="66"/>
      <c r="N1379" s="66"/>
      <c r="O1379" s="66">
        <f t="shared" si="230"/>
        <v>0</v>
      </c>
      <c r="P1379" s="67"/>
      <c r="Q1379" s="68">
        <f t="shared" si="234"/>
        <v>4100</v>
      </c>
      <c r="R1379" s="68">
        <f t="shared" si="235"/>
        <v>0</v>
      </c>
      <c r="S1379" s="68">
        <f t="shared" si="236"/>
        <v>4100</v>
      </c>
    </row>
    <row r="1380" spans="2:19" x14ac:dyDescent="0.2">
      <c r="B1380" s="48">
        <f t="shared" si="228"/>
        <v>114</v>
      </c>
      <c r="C1380" s="11"/>
      <c r="D1380" s="11"/>
      <c r="E1380" s="11"/>
      <c r="F1380" s="65"/>
      <c r="G1380" s="10">
        <v>633</v>
      </c>
      <c r="H1380" s="11" t="s">
        <v>126</v>
      </c>
      <c r="I1380" s="66">
        <f>1000+53000+750+500-5425</f>
        <v>49825</v>
      </c>
      <c r="J1380" s="66"/>
      <c r="K1380" s="66">
        <f t="shared" si="229"/>
        <v>49825</v>
      </c>
      <c r="L1380" s="66"/>
      <c r="M1380" s="66"/>
      <c r="N1380" s="66"/>
      <c r="O1380" s="66">
        <f t="shared" si="230"/>
        <v>0</v>
      </c>
      <c r="P1380" s="67"/>
      <c r="Q1380" s="68">
        <f t="shared" si="234"/>
        <v>49825</v>
      </c>
      <c r="R1380" s="68">
        <f t="shared" si="235"/>
        <v>0</v>
      </c>
      <c r="S1380" s="68">
        <f t="shared" si="236"/>
        <v>49825</v>
      </c>
    </row>
    <row r="1381" spans="2:19" x14ac:dyDescent="0.2">
      <c r="B1381" s="48">
        <f>B1380+1</f>
        <v>115</v>
      </c>
      <c r="C1381" s="11"/>
      <c r="D1381" s="11"/>
      <c r="E1381" s="11"/>
      <c r="F1381" s="65"/>
      <c r="G1381" s="10">
        <v>634</v>
      </c>
      <c r="H1381" s="11" t="s">
        <v>133</v>
      </c>
      <c r="I1381" s="66">
        <v>2500</v>
      </c>
      <c r="J1381" s="66"/>
      <c r="K1381" s="66">
        <f t="shared" si="229"/>
        <v>2500</v>
      </c>
      <c r="L1381" s="66"/>
      <c r="M1381" s="66"/>
      <c r="N1381" s="66"/>
      <c r="O1381" s="66">
        <f t="shared" si="230"/>
        <v>0</v>
      </c>
      <c r="P1381" s="67"/>
      <c r="Q1381" s="68">
        <f t="shared" si="234"/>
        <v>2500</v>
      </c>
      <c r="R1381" s="68">
        <f t="shared" si="235"/>
        <v>0</v>
      </c>
      <c r="S1381" s="68">
        <f t="shared" si="236"/>
        <v>2500</v>
      </c>
    </row>
    <row r="1382" spans="2:19" x14ac:dyDescent="0.2">
      <c r="B1382" s="48">
        <f>B1381+1</f>
        <v>116</v>
      </c>
      <c r="C1382" s="11"/>
      <c r="D1382" s="11"/>
      <c r="E1382" s="11"/>
      <c r="F1382" s="65"/>
      <c r="G1382" s="10">
        <v>635</v>
      </c>
      <c r="H1382" s="11" t="s">
        <v>134</v>
      </c>
      <c r="I1382" s="66">
        <f>200+30000</f>
        <v>30200</v>
      </c>
      <c r="J1382" s="66"/>
      <c r="K1382" s="66">
        <f t="shared" si="229"/>
        <v>30200</v>
      </c>
      <c r="L1382" s="66"/>
      <c r="M1382" s="66"/>
      <c r="N1382" s="66"/>
      <c r="O1382" s="66">
        <f t="shared" si="230"/>
        <v>0</v>
      </c>
      <c r="P1382" s="67"/>
      <c r="Q1382" s="68">
        <f t="shared" si="234"/>
        <v>30200</v>
      </c>
      <c r="R1382" s="68">
        <f t="shared" si="235"/>
        <v>0</v>
      </c>
      <c r="S1382" s="68">
        <f t="shared" si="236"/>
        <v>30200</v>
      </c>
    </row>
    <row r="1383" spans="2:19" x14ac:dyDescent="0.2">
      <c r="B1383" s="48">
        <f>B1382+1</f>
        <v>117</v>
      </c>
      <c r="C1383" s="11"/>
      <c r="D1383" s="11"/>
      <c r="E1383" s="11"/>
      <c r="F1383" s="65"/>
      <c r="G1383" s="10">
        <v>636</v>
      </c>
      <c r="H1383" s="11" t="s">
        <v>127</v>
      </c>
      <c r="I1383" s="66">
        <v>1500</v>
      </c>
      <c r="J1383" s="66"/>
      <c r="K1383" s="66">
        <f t="shared" si="229"/>
        <v>1500</v>
      </c>
      <c r="L1383" s="66"/>
      <c r="M1383" s="66"/>
      <c r="N1383" s="66"/>
      <c r="O1383" s="66">
        <f t="shared" si="230"/>
        <v>0</v>
      </c>
      <c r="P1383" s="67"/>
      <c r="Q1383" s="68">
        <f t="shared" si="234"/>
        <v>1500</v>
      </c>
      <c r="R1383" s="68">
        <f t="shared" si="235"/>
        <v>0</v>
      </c>
      <c r="S1383" s="68">
        <f t="shared" si="236"/>
        <v>1500</v>
      </c>
    </row>
    <row r="1384" spans="2:19" x14ac:dyDescent="0.2">
      <c r="B1384" s="48">
        <f>B1383+1</f>
        <v>118</v>
      </c>
      <c r="C1384" s="11"/>
      <c r="D1384" s="11"/>
      <c r="E1384" s="11"/>
      <c r="F1384" s="65"/>
      <c r="G1384" s="10">
        <v>637</v>
      </c>
      <c r="H1384" s="11" t="s">
        <v>123</v>
      </c>
      <c r="I1384" s="66">
        <f>150+3130+925+250+3500+1000+6000</f>
        <v>14955</v>
      </c>
      <c r="J1384" s="66"/>
      <c r="K1384" s="66">
        <f t="shared" si="229"/>
        <v>14955</v>
      </c>
      <c r="L1384" s="66"/>
      <c r="M1384" s="66"/>
      <c r="N1384" s="66"/>
      <c r="O1384" s="66">
        <f t="shared" si="230"/>
        <v>0</v>
      </c>
      <c r="P1384" s="67"/>
      <c r="Q1384" s="68">
        <f t="shared" si="234"/>
        <v>14955</v>
      </c>
      <c r="R1384" s="68">
        <f t="shared" si="235"/>
        <v>0</v>
      </c>
      <c r="S1384" s="68">
        <f t="shared" si="236"/>
        <v>14955</v>
      </c>
    </row>
    <row r="1385" spans="2:19" x14ac:dyDescent="0.2">
      <c r="B1385" s="48">
        <f>B1384+1</f>
        <v>119</v>
      </c>
      <c r="C1385" s="9"/>
      <c r="D1385" s="9"/>
      <c r="E1385" s="9"/>
      <c r="F1385" s="61" t="s">
        <v>193</v>
      </c>
      <c r="G1385" s="8">
        <v>640</v>
      </c>
      <c r="H1385" s="9" t="s">
        <v>130</v>
      </c>
      <c r="I1385" s="62">
        <f>2280+2100+700</f>
        <v>5080</v>
      </c>
      <c r="J1385" s="62"/>
      <c r="K1385" s="62">
        <f t="shared" si="229"/>
        <v>5080</v>
      </c>
      <c r="L1385" s="62"/>
      <c r="M1385" s="62"/>
      <c r="N1385" s="62"/>
      <c r="O1385" s="62">
        <f t="shared" si="230"/>
        <v>0</v>
      </c>
      <c r="P1385" s="63"/>
      <c r="Q1385" s="64">
        <f t="shared" si="234"/>
        <v>5080</v>
      </c>
      <c r="R1385" s="64">
        <f t="shared" si="235"/>
        <v>0</v>
      </c>
      <c r="S1385" s="64">
        <f t="shared" si="236"/>
        <v>5080</v>
      </c>
    </row>
    <row r="1386" spans="2:19" x14ac:dyDescent="0.2">
      <c r="B1386" s="1"/>
      <c r="F1386" s="1"/>
      <c r="G1386" s="1"/>
      <c r="I1386" s="1"/>
      <c r="J1386" s="1"/>
      <c r="K1386" s="1"/>
      <c r="L1386" s="1"/>
      <c r="M1386" s="1"/>
      <c r="N1386" s="1"/>
      <c r="O1386" s="1"/>
      <c r="P1386" s="1"/>
      <c r="Q1386" s="1"/>
    </row>
    <row r="1387" spans="2:19" x14ac:dyDescent="0.2">
      <c r="B1387" s="1"/>
      <c r="F1387" s="1"/>
      <c r="G1387" s="1"/>
      <c r="I1387" s="1"/>
      <c r="J1387" s="1"/>
      <c r="K1387" s="1"/>
      <c r="L1387" s="1"/>
      <c r="M1387" s="1"/>
      <c r="N1387" s="1"/>
      <c r="O1387" s="1"/>
      <c r="P1387" s="1"/>
      <c r="Q1387" s="1"/>
    </row>
    <row r="1388" spans="2:19" x14ac:dyDescent="0.2">
      <c r="B1388" s="1"/>
      <c r="F1388" s="1"/>
      <c r="G1388" s="1"/>
      <c r="I1388" s="1"/>
      <c r="J1388" s="1"/>
      <c r="K1388" s="1"/>
      <c r="L1388" s="1"/>
      <c r="M1388" s="1"/>
      <c r="N1388" s="1"/>
      <c r="O1388" s="1"/>
      <c r="P1388" s="1"/>
      <c r="Q1388" s="1"/>
    </row>
    <row r="1389" spans="2:19" ht="27.75" x14ac:dyDescent="0.4">
      <c r="B1389" s="429" t="s">
        <v>21</v>
      </c>
      <c r="C1389" s="430"/>
      <c r="D1389" s="430"/>
      <c r="E1389" s="430"/>
      <c r="F1389" s="430"/>
      <c r="G1389" s="430"/>
      <c r="H1389" s="430"/>
      <c r="I1389" s="430"/>
      <c r="J1389" s="430"/>
      <c r="K1389" s="430"/>
      <c r="L1389" s="430"/>
      <c r="M1389" s="430"/>
      <c r="N1389" s="430"/>
      <c r="O1389" s="430"/>
      <c r="P1389" s="430"/>
      <c r="Q1389" s="430"/>
    </row>
    <row r="1390" spans="2:19" ht="12.75" customHeight="1" x14ac:dyDescent="0.2">
      <c r="B1390" s="459" t="s">
        <v>422</v>
      </c>
      <c r="C1390" s="459"/>
      <c r="D1390" s="459"/>
      <c r="E1390" s="459"/>
      <c r="F1390" s="459"/>
      <c r="G1390" s="459"/>
      <c r="H1390" s="459"/>
      <c r="I1390" s="459"/>
      <c r="J1390" s="459"/>
      <c r="K1390" s="459"/>
      <c r="L1390" s="459"/>
      <c r="M1390" s="459"/>
      <c r="N1390" s="459"/>
      <c r="O1390" s="459"/>
      <c r="P1390" s="390"/>
      <c r="Q1390" s="408" t="s">
        <v>595</v>
      </c>
      <c r="R1390" s="408" t="s">
        <v>591</v>
      </c>
      <c r="S1390" s="408" t="s">
        <v>566</v>
      </c>
    </row>
    <row r="1391" spans="2:19" ht="12.75" customHeight="1" x14ac:dyDescent="0.2">
      <c r="B1391" s="458"/>
      <c r="C1391" s="437" t="s">
        <v>115</v>
      </c>
      <c r="D1391" s="437" t="s">
        <v>116</v>
      </c>
      <c r="E1391" s="452"/>
      <c r="F1391" s="437" t="s">
        <v>117</v>
      </c>
      <c r="G1391" s="443" t="s">
        <v>118</v>
      </c>
      <c r="H1391" s="449" t="s">
        <v>119</v>
      </c>
      <c r="I1391" s="408" t="s">
        <v>593</v>
      </c>
      <c r="J1391" s="408" t="s">
        <v>591</v>
      </c>
      <c r="K1391" s="408" t="s">
        <v>566</v>
      </c>
      <c r="L1391" s="391"/>
      <c r="M1391" s="408" t="s">
        <v>594</v>
      </c>
      <c r="N1391" s="408" t="s">
        <v>591</v>
      </c>
      <c r="O1391" s="408" t="s">
        <v>566</v>
      </c>
      <c r="P1391" s="391"/>
      <c r="Q1391" s="408"/>
      <c r="R1391" s="408"/>
      <c r="S1391" s="408"/>
    </row>
    <row r="1392" spans="2:19" x14ac:dyDescent="0.2">
      <c r="B1392" s="458"/>
      <c r="C1392" s="437"/>
      <c r="D1392" s="437"/>
      <c r="E1392" s="452"/>
      <c r="F1392" s="437"/>
      <c r="G1392" s="443"/>
      <c r="H1392" s="449"/>
      <c r="I1392" s="408"/>
      <c r="J1392" s="408"/>
      <c r="K1392" s="408"/>
      <c r="L1392" s="391"/>
      <c r="M1392" s="408"/>
      <c r="N1392" s="408"/>
      <c r="O1392" s="408"/>
      <c r="P1392" s="391"/>
      <c r="Q1392" s="408"/>
      <c r="R1392" s="408"/>
      <c r="S1392" s="408"/>
    </row>
    <row r="1393" spans="2:19" x14ac:dyDescent="0.2">
      <c r="B1393" s="458"/>
      <c r="C1393" s="437"/>
      <c r="D1393" s="437"/>
      <c r="E1393" s="452"/>
      <c r="F1393" s="437"/>
      <c r="G1393" s="443"/>
      <c r="H1393" s="449"/>
      <c r="I1393" s="408"/>
      <c r="J1393" s="408"/>
      <c r="K1393" s="408"/>
      <c r="L1393" s="391"/>
      <c r="M1393" s="408"/>
      <c r="N1393" s="408"/>
      <c r="O1393" s="408"/>
      <c r="P1393" s="391"/>
      <c r="Q1393" s="408"/>
      <c r="R1393" s="408"/>
      <c r="S1393" s="408"/>
    </row>
    <row r="1394" spans="2:19" x14ac:dyDescent="0.2">
      <c r="B1394" s="458"/>
      <c r="C1394" s="437"/>
      <c r="D1394" s="437"/>
      <c r="E1394" s="452"/>
      <c r="F1394" s="437"/>
      <c r="G1394" s="443"/>
      <c r="H1394" s="449"/>
      <c r="I1394" s="408"/>
      <c r="J1394" s="408"/>
      <c r="K1394" s="408"/>
      <c r="L1394" s="391"/>
      <c r="M1394" s="408"/>
      <c r="N1394" s="408"/>
      <c r="O1394" s="408"/>
      <c r="P1394" s="391"/>
      <c r="Q1394" s="408"/>
      <c r="R1394" s="408"/>
      <c r="S1394" s="408"/>
    </row>
    <row r="1395" spans="2:19" ht="15.75" x14ac:dyDescent="0.2">
      <c r="B1395" s="48">
        <v>1</v>
      </c>
      <c r="C1395" s="453" t="s">
        <v>21</v>
      </c>
      <c r="D1395" s="454"/>
      <c r="E1395" s="454"/>
      <c r="F1395" s="454"/>
      <c r="G1395" s="454"/>
      <c r="H1395" s="454"/>
      <c r="I1395" s="49">
        <f>I1432+I1415+I1410+I1396+I1449</f>
        <v>2818650</v>
      </c>
      <c r="J1395" s="49">
        <f>J1432+J1415+J1410+J1396+J1449</f>
        <v>100000</v>
      </c>
      <c r="K1395" s="49">
        <f>I1395+J1395</f>
        <v>2918650</v>
      </c>
      <c r="L1395" s="394"/>
      <c r="M1395" s="49">
        <f>M1432+M1415+M1410+M1396+M1449</f>
        <v>8371139</v>
      </c>
      <c r="N1395" s="49">
        <f>N1432+N1415+N1410+N1396+N1449</f>
        <v>255256</v>
      </c>
      <c r="O1395" s="49">
        <f>M1395+N1395</f>
        <v>8626395</v>
      </c>
      <c r="P1395" s="392"/>
      <c r="Q1395" s="50">
        <f t="shared" ref="Q1395:Q1429" si="237">I1395+M1395</f>
        <v>11189789</v>
      </c>
      <c r="R1395" s="50">
        <f t="shared" ref="R1395:R1429" si="238">J1395+N1395</f>
        <v>355256</v>
      </c>
      <c r="S1395" s="50">
        <f t="shared" ref="S1395:S1429" si="239">K1395+O1395</f>
        <v>11545045</v>
      </c>
    </row>
    <row r="1396" spans="2:19" ht="15" x14ac:dyDescent="0.2">
      <c r="B1396" s="48">
        <f t="shared" ref="B1396:B1455" si="240">B1395+1</f>
        <v>2</v>
      </c>
      <c r="C1396" s="51">
        <v>1</v>
      </c>
      <c r="D1396" s="435" t="s">
        <v>229</v>
      </c>
      <c r="E1396" s="436"/>
      <c r="F1396" s="436"/>
      <c r="G1396" s="436"/>
      <c r="H1396" s="436"/>
      <c r="I1396" s="52">
        <f>I1397</f>
        <v>175500</v>
      </c>
      <c r="J1396" s="52">
        <f>J1397</f>
        <v>0</v>
      </c>
      <c r="K1396" s="52">
        <f t="shared" ref="K1396:K1458" si="241">I1396+J1396</f>
        <v>175500</v>
      </c>
      <c r="L1396" s="53"/>
      <c r="M1396" s="52"/>
      <c r="N1396" s="52"/>
      <c r="O1396" s="52">
        <f t="shared" ref="O1396:O1458" si="242">M1396+N1396</f>
        <v>0</v>
      </c>
      <c r="P1396" s="54"/>
      <c r="Q1396" s="72">
        <f t="shared" si="237"/>
        <v>175500</v>
      </c>
      <c r="R1396" s="72">
        <f t="shared" si="238"/>
        <v>0</v>
      </c>
      <c r="S1396" s="72">
        <f t="shared" si="239"/>
        <v>175500</v>
      </c>
    </row>
    <row r="1397" spans="2:19" x14ac:dyDescent="0.2">
      <c r="B1397" s="48">
        <f t="shared" si="240"/>
        <v>3</v>
      </c>
      <c r="C1397" s="9"/>
      <c r="D1397" s="9"/>
      <c r="E1397" s="9"/>
      <c r="F1397" s="61" t="s">
        <v>75</v>
      </c>
      <c r="G1397" s="8">
        <v>640</v>
      </c>
      <c r="H1397" s="9" t="s">
        <v>130</v>
      </c>
      <c r="I1397" s="62">
        <f>SUM(I1398:I1409)</f>
        <v>175500</v>
      </c>
      <c r="J1397" s="62">
        <f>SUM(J1398:J1407)</f>
        <v>0</v>
      </c>
      <c r="K1397" s="62">
        <f t="shared" si="241"/>
        <v>175500</v>
      </c>
      <c r="L1397" s="62"/>
      <c r="M1397" s="62"/>
      <c r="N1397" s="62"/>
      <c r="O1397" s="62">
        <f t="shared" si="242"/>
        <v>0</v>
      </c>
      <c r="P1397" s="63"/>
      <c r="Q1397" s="64">
        <f t="shared" si="237"/>
        <v>175500</v>
      </c>
      <c r="R1397" s="64">
        <f t="shared" si="238"/>
        <v>0</v>
      </c>
      <c r="S1397" s="64">
        <f t="shared" si="239"/>
        <v>175500</v>
      </c>
    </row>
    <row r="1398" spans="2:19" x14ac:dyDescent="0.2">
      <c r="B1398" s="48">
        <f t="shared" si="240"/>
        <v>4</v>
      </c>
      <c r="C1398" s="81"/>
      <c r="D1398" s="81"/>
      <c r="E1398" s="81"/>
      <c r="F1398" s="12"/>
      <c r="G1398" s="12"/>
      <c r="H1398" s="13" t="s">
        <v>265</v>
      </c>
      <c r="I1398" s="83">
        <f>58000-1350</f>
        <v>56650</v>
      </c>
      <c r="J1398" s="83"/>
      <c r="K1398" s="83">
        <f t="shared" si="241"/>
        <v>56650</v>
      </c>
      <c r="L1398" s="211"/>
      <c r="M1398" s="211"/>
      <c r="N1398" s="211"/>
      <c r="O1398" s="211">
        <f t="shared" si="242"/>
        <v>0</v>
      </c>
      <c r="P1398" s="84"/>
      <c r="Q1398" s="216">
        <f t="shared" si="237"/>
        <v>56650</v>
      </c>
      <c r="R1398" s="216">
        <f t="shared" si="238"/>
        <v>0</v>
      </c>
      <c r="S1398" s="216">
        <f t="shared" si="239"/>
        <v>56650</v>
      </c>
    </row>
    <row r="1399" spans="2:19" x14ac:dyDescent="0.2">
      <c r="B1399" s="48">
        <f t="shared" si="240"/>
        <v>5</v>
      </c>
      <c r="C1399" s="81"/>
      <c r="D1399" s="81"/>
      <c r="E1399" s="81"/>
      <c r="F1399" s="12"/>
      <c r="G1399" s="12"/>
      <c r="H1399" s="13" t="s">
        <v>651</v>
      </c>
      <c r="I1399" s="83">
        <v>1200</v>
      </c>
      <c r="J1399" s="83"/>
      <c r="K1399" s="83">
        <f t="shared" si="241"/>
        <v>1200</v>
      </c>
      <c r="L1399" s="211"/>
      <c r="M1399" s="211"/>
      <c r="N1399" s="211"/>
      <c r="O1399" s="211"/>
      <c r="P1399" s="84"/>
      <c r="Q1399" s="216">
        <f t="shared" ref="Q1399" si="243">I1399+M1399</f>
        <v>1200</v>
      </c>
      <c r="R1399" s="216">
        <f t="shared" ref="R1399" si="244">J1399+N1399</f>
        <v>0</v>
      </c>
      <c r="S1399" s="216">
        <f t="shared" ref="S1399" si="245">K1399+O1399</f>
        <v>1200</v>
      </c>
    </row>
    <row r="1400" spans="2:19" x14ac:dyDescent="0.2">
      <c r="B1400" s="48">
        <f t="shared" si="240"/>
        <v>6</v>
      </c>
      <c r="C1400" s="81"/>
      <c r="D1400" s="81"/>
      <c r="E1400" s="81"/>
      <c r="F1400" s="12"/>
      <c r="G1400" s="12"/>
      <c r="H1400" s="13" t="s">
        <v>364</v>
      </c>
      <c r="I1400" s="83">
        <v>10000</v>
      </c>
      <c r="J1400" s="83"/>
      <c r="K1400" s="83">
        <f t="shared" si="241"/>
        <v>10000</v>
      </c>
      <c r="L1400" s="211"/>
      <c r="M1400" s="211"/>
      <c r="N1400" s="211"/>
      <c r="O1400" s="211">
        <f t="shared" si="242"/>
        <v>0</v>
      </c>
      <c r="P1400" s="84"/>
      <c r="Q1400" s="216">
        <f t="shared" si="237"/>
        <v>10000</v>
      </c>
      <c r="R1400" s="216">
        <f t="shared" si="238"/>
        <v>0</v>
      </c>
      <c r="S1400" s="216">
        <f t="shared" si="239"/>
        <v>10000</v>
      </c>
    </row>
    <row r="1401" spans="2:19" x14ac:dyDescent="0.2">
      <c r="B1401" s="48">
        <f t="shared" si="240"/>
        <v>7</v>
      </c>
      <c r="C1401" s="81"/>
      <c r="D1401" s="81"/>
      <c r="E1401" s="81"/>
      <c r="F1401" s="12"/>
      <c r="G1401" s="12"/>
      <c r="H1401" s="13" t="s">
        <v>340</v>
      </c>
      <c r="I1401" s="83">
        <v>7000</v>
      </c>
      <c r="J1401" s="83"/>
      <c r="K1401" s="83">
        <f t="shared" si="241"/>
        <v>7000</v>
      </c>
      <c r="L1401" s="211"/>
      <c r="M1401" s="211"/>
      <c r="N1401" s="211"/>
      <c r="O1401" s="211">
        <f t="shared" si="242"/>
        <v>0</v>
      </c>
      <c r="P1401" s="84"/>
      <c r="Q1401" s="216">
        <f t="shared" si="237"/>
        <v>7000</v>
      </c>
      <c r="R1401" s="216">
        <f t="shared" si="238"/>
        <v>0</v>
      </c>
      <c r="S1401" s="216">
        <f t="shared" si="239"/>
        <v>7000</v>
      </c>
    </row>
    <row r="1402" spans="2:19" x14ac:dyDescent="0.2">
      <c r="B1402" s="48">
        <f t="shared" si="240"/>
        <v>8</v>
      </c>
      <c r="C1402" s="81"/>
      <c r="D1402" s="81"/>
      <c r="E1402" s="81"/>
      <c r="F1402" s="12"/>
      <c r="G1402" s="12"/>
      <c r="H1402" s="13" t="s">
        <v>503</v>
      </c>
      <c r="I1402" s="83">
        <v>25000</v>
      </c>
      <c r="J1402" s="83"/>
      <c r="K1402" s="83">
        <f t="shared" si="241"/>
        <v>25000</v>
      </c>
      <c r="L1402" s="211"/>
      <c r="M1402" s="211"/>
      <c r="N1402" s="211"/>
      <c r="O1402" s="211">
        <f t="shared" si="242"/>
        <v>0</v>
      </c>
      <c r="P1402" s="84"/>
      <c r="Q1402" s="216">
        <f t="shared" si="237"/>
        <v>25000</v>
      </c>
      <c r="R1402" s="216">
        <f t="shared" si="238"/>
        <v>0</v>
      </c>
      <c r="S1402" s="216">
        <f t="shared" si="239"/>
        <v>25000</v>
      </c>
    </row>
    <row r="1403" spans="2:19" x14ac:dyDescent="0.2">
      <c r="B1403" s="48">
        <f t="shared" si="240"/>
        <v>9</v>
      </c>
      <c r="C1403" s="81"/>
      <c r="D1403" s="81"/>
      <c r="E1403" s="81"/>
      <c r="F1403" s="12"/>
      <c r="G1403" s="12"/>
      <c r="H1403" s="13" t="s">
        <v>463</v>
      </c>
      <c r="I1403" s="83">
        <v>5000</v>
      </c>
      <c r="J1403" s="83"/>
      <c r="K1403" s="83">
        <f t="shared" si="241"/>
        <v>5000</v>
      </c>
      <c r="L1403" s="211"/>
      <c r="M1403" s="211"/>
      <c r="N1403" s="211"/>
      <c r="O1403" s="211">
        <f t="shared" si="242"/>
        <v>0</v>
      </c>
      <c r="P1403" s="84"/>
      <c r="Q1403" s="216">
        <f t="shared" si="237"/>
        <v>5000</v>
      </c>
      <c r="R1403" s="216">
        <f t="shared" si="238"/>
        <v>0</v>
      </c>
      <c r="S1403" s="216">
        <f t="shared" si="239"/>
        <v>5000</v>
      </c>
    </row>
    <row r="1404" spans="2:19" x14ac:dyDescent="0.2">
      <c r="B1404" s="48">
        <f t="shared" si="240"/>
        <v>10</v>
      </c>
      <c r="C1404" s="81"/>
      <c r="D1404" s="81"/>
      <c r="E1404" s="81"/>
      <c r="F1404" s="12"/>
      <c r="G1404" s="12"/>
      <c r="H1404" s="13" t="s">
        <v>504</v>
      </c>
      <c r="I1404" s="83">
        <v>6000</v>
      </c>
      <c r="J1404" s="83"/>
      <c r="K1404" s="83">
        <f t="shared" si="241"/>
        <v>6000</v>
      </c>
      <c r="L1404" s="211"/>
      <c r="M1404" s="211"/>
      <c r="N1404" s="211"/>
      <c r="O1404" s="211">
        <f t="shared" si="242"/>
        <v>0</v>
      </c>
      <c r="P1404" s="84"/>
      <c r="Q1404" s="216">
        <f t="shared" si="237"/>
        <v>6000</v>
      </c>
      <c r="R1404" s="216">
        <f t="shared" si="238"/>
        <v>0</v>
      </c>
      <c r="S1404" s="216">
        <f t="shared" si="239"/>
        <v>6000</v>
      </c>
    </row>
    <row r="1405" spans="2:19" x14ac:dyDescent="0.2">
      <c r="B1405" s="48">
        <f t="shared" si="240"/>
        <v>11</v>
      </c>
      <c r="C1405" s="81"/>
      <c r="D1405" s="81"/>
      <c r="E1405" s="81"/>
      <c r="F1405" s="12"/>
      <c r="G1405" s="12"/>
      <c r="H1405" s="13" t="s">
        <v>365</v>
      </c>
      <c r="I1405" s="83">
        <v>7000</v>
      </c>
      <c r="J1405" s="83"/>
      <c r="K1405" s="83">
        <f t="shared" si="241"/>
        <v>7000</v>
      </c>
      <c r="L1405" s="211"/>
      <c r="M1405" s="211"/>
      <c r="N1405" s="211"/>
      <c r="O1405" s="211">
        <f t="shared" si="242"/>
        <v>0</v>
      </c>
      <c r="P1405" s="84"/>
      <c r="Q1405" s="216">
        <f t="shared" si="237"/>
        <v>7000</v>
      </c>
      <c r="R1405" s="216">
        <f t="shared" si="238"/>
        <v>0</v>
      </c>
      <c r="S1405" s="216">
        <f t="shared" si="239"/>
        <v>7000</v>
      </c>
    </row>
    <row r="1406" spans="2:19" x14ac:dyDescent="0.2">
      <c r="B1406" s="48">
        <f t="shared" si="240"/>
        <v>12</v>
      </c>
      <c r="C1406" s="81"/>
      <c r="D1406" s="81"/>
      <c r="E1406" s="81"/>
      <c r="F1406" s="12"/>
      <c r="G1406" s="12"/>
      <c r="H1406" s="13" t="s">
        <v>268</v>
      </c>
      <c r="I1406" s="83">
        <v>35000</v>
      </c>
      <c r="J1406" s="83"/>
      <c r="K1406" s="83">
        <f t="shared" si="241"/>
        <v>35000</v>
      </c>
      <c r="L1406" s="211"/>
      <c r="M1406" s="211"/>
      <c r="N1406" s="211"/>
      <c r="O1406" s="211">
        <f t="shared" si="242"/>
        <v>0</v>
      </c>
      <c r="P1406" s="84"/>
      <c r="Q1406" s="216">
        <f t="shared" si="237"/>
        <v>35000</v>
      </c>
      <c r="R1406" s="216">
        <f t="shared" si="238"/>
        <v>0</v>
      </c>
      <c r="S1406" s="216">
        <f t="shared" si="239"/>
        <v>35000</v>
      </c>
    </row>
    <row r="1407" spans="2:19" x14ac:dyDescent="0.2">
      <c r="B1407" s="48">
        <f t="shared" si="240"/>
        <v>13</v>
      </c>
      <c r="C1407" s="81"/>
      <c r="D1407" s="81"/>
      <c r="E1407" s="81"/>
      <c r="F1407" s="12"/>
      <c r="G1407" s="12"/>
      <c r="H1407" s="13" t="s">
        <v>341</v>
      </c>
      <c r="I1407" s="83">
        <v>20000</v>
      </c>
      <c r="J1407" s="83"/>
      <c r="K1407" s="83">
        <f t="shared" si="241"/>
        <v>20000</v>
      </c>
      <c r="L1407" s="211"/>
      <c r="M1407" s="211"/>
      <c r="N1407" s="211"/>
      <c r="O1407" s="211">
        <f t="shared" si="242"/>
        <v>0</v>
      </c>
      <c r="P1407" s="84"/>
      <c r="Q1407" s="216">
        <f t="shared" si="237"/>
        <v>20000</v>
      </c>
      <c r="R1407" s="216">
        <f t="shared" si="238"/>
        <v>0</v>
      </c>
      <c r="S1407" s="216">
        <f t="shared" si="239"/>
        <v>20000</v>
      </c>
    </row>
    <row r="1408" spans="2:19" x14ac:dyDescent="0.2">
      <c r="B1408" s="48">
        <f t="shared" si="240"/>
        <v>14</v>
      </c>
      <c r="C1408" s="81"/>
      <c r="D1408" s="81"/>
      <c r="E1408" s="81"/>
      <c r="F1408" s="12"/>
      <c r="G1408" s="12"/>
      <c r="H1408" s="13" t="s">
        <v>652</v>
      </c>
      <c r="I1408" s="83">
        <v>1150</v>
      </c>
      <c r="J1408" s="83"/>
      <c r="K1408" s="83">
        <f t="shared" si="241"/>
        <v>1150</v>
      </c>
      <c r="L1408" s="211"/>
      <c r="M1408" s="211"/>
      <c r="N1408" s="211"/>
      <c r="O1408" s="211"/>
      <c r="P1408" s="84"/>
      <c r="Q1408" s="216">
        <f t="shared" ref="Q1408:Q1409" si="246">I1408+M1408</f>
        <v>1150</v>
      </c>
      <c r="R1408" s="216">
        <f t="shared" ref="R1408:R1409" si="247">J1408+N1408</f>
        <v>0</v>
      </c>
      <c r="S1408" s="216">
        <f t="shared" ref="S1408:S1409" si="248">K1408+O1408</f>
        <v>1150</v>
      </c>
    </row>
    <row r="1409" spans="2:19" s="79" customFormat="1" ht="36" x14ac:dyDescent="0.2">
      <c r="B1409" s="48">
        <f t="shared" si="240"/>
        <v>15</v>
      </c>
      <c r="C1409" s="73"/>
      <c r="D1409" s="73"/>
      <c r="E1409" s="73"/>
      <c r="F1409" s="212"/>
      <c r="G1409" s="212"/>
      <c r="H1409" s="75" t="s">
        <v>650</v>
      </c>
      <c r="I1409" s="76">
        <v>1500</v>
      </c>
      <c r="J1409" s="76"/>
      <c r="K1409" s="76">
        <f t="shared" si="241"/>
        <v>1500</v>
      </c>
      <c r="L1409" s="213"/>
      <c r="M1409" s="213"/>
      <c r="N1409" s="213"/>
      <c r="O1409" s="213"/>
      <c r="P1409" s="77"/>
      <c r="Q1409" s="217">
        <f t="shared" si="246"/>
        <v>1500</v>
      </c>
      <c r="R1409" s="217">
        <f t="shared" si="247"/>
        <v>0</v>
      </c>
      <c r="S1409" s="217">
        <f t="shared" si="248"/>
        <v>1500</v>
      </c>
    </row>
    <row r="1410" spans="2:19" ht="15" x14ac:dyDescent="0.2">
      <c r="B1410" s="48">
        <f t="shared" si="240"/>
        <v>16</v>
      </c>
      <c r="C1410" s="51">
        <v>2</v>
      </c>
      <c r="D1410" s="435" t="s">
        <v>172</v>
      </c>
      <c r="E1410" s="436"/>
      <c r="F1410" s="436"/>
      <c r="G1410" s="436"/>
      <c r="H1410" s="436"/>
      <c r="I1410" s="52">
        <f>I1411</f>
        <v>864000</v>
      </c>
      <c r="J1410" s="52">
        <f>J1411</f>
        <v>0</v>
      </c>
      <c r="K1410" s="52">
        <f t="shared" si="241"/>
        <v>864000</v>
      </c>
      <c r="L1410" s="53"/>
      <c r="M1410" s="52"/>
      <c r="N1410" s="52"/>
      <c r="O1410" s="52">
        <f t="shared" si="242"/>
        <v>0</v>
      </c>
      <c r="P1410" s="54"/>
      <c r="Q1410" s="72">
        <f t="shared" si="237"/>
        <v>864000</v>
      </c>
      <c r="R1410" s="72">
        <f t="shared" si="238"/>
        <v>0</v>
      </c>
      <c r="S1410" s="72">
        <f t="shared" si="239"/>
        <v>864000</v>
      </c>
    </row>
    <row r="1411" spans="2:19" x14ac:dyDescent="0.2">
      <c r="B1411" s="48">
        <f t="shared" si="240"/>
        <v>17</v>
      </c>
      <c r="C1411" s="9"/>
      <c r="D1411" s="9"/>
      <c r="E1411" s="9"/>
      <c r="F1411" s="61" t="s">
        <v>75</v>
      </c>
      <c r="G1411" s="8">
        <v>630</v>
      </c>
      <c r="H1411" s="9" t="s">
        <v>122</v>
      </c>
      <c r="I1411" s="62">
        <f>SUM(I1412:I1414)</f>
        <v>864000</v>
      </c>
      <c r="J1411" s="62">
        <f>SUM(J1412:J1414)</f>
        <v>0</v>
      </c>
      <c r="K1411" s="62">
        <f t="shared" si="241"/>
        <v>864000</v>
      </c>
      <c r="L1411" s="62"/>
      <c r="M1411" s="62"/>
      <c r="N1411" s="62"/>
      <c r="O1411" s="62">
        <f t="shared" si="242"/>
        <v>0</v>
      </c>
      <c r="P1411" s="63"/>
      <c r="Q1411" s="64">
        <f t="shared" si="237"/>
        <v>864000</v>
      </c>
      <c r="R1411" s="64">
        <f t="shared" si="238"/>
        <v>0</v>
      </c>
      <c r="S1411" s="64">
        <f t="shared" si="239"/>
        <v>864000</v>
      </c>
    </row>
    <row r="1412" spans="2:19" x14ac:dyDescent="0.2">
      <c r="B1412" s="48">
        <f t="shared" si="240"/>
        <v>18</v>
      </c>
      <c r="C1412" s="11"/>
      <c r="D1412" s="11"/>
      <c r="E1412" s="11"/>
      <c r="F1412" s="65"/>
      <c r="G1412" s="10">
        <v>633</v>
      </c>
      <c r="H1412" s="11" t="s">
        <v>126</v>
      </c>
      <c r="I1412" s="66">
        <v>6000</v>
      </c>
      <c r="J1412" s="66"/>
      <c r="K1412" s="66">
        <f t="shared" si="241"/>
        <v>6000</v>
      </c>
      <c r="L1412" s="66"/>
      <c r="M1412" s="66"/>
      <c r="N1412" s="66"/>
      <c r="O1412" s="66">
        <f t="shared" si="242"/>
        <v>0</v>
      </c>
      <c r="P1412" s="67"/>
      <c r="Q1412" s="68">
        <f t="shared" si="237"/>
        <v>6000</v>
      </c>
      <c r="R1412" s="68">
        <f t="shared" si="238"/>
        <v>0</v>
      </c>
      <c r="S1412" s="68">
        <f t="shared" si="239"/>
        <v>6000</v>
      </c>
    </row>
    <row r="1413" spans="2:19" x14ac:dyDescent="0.2">
      <c r="B1413" s="48">
        <f t="shared" si="240"/>
        <v>19</v>
      </c>
      <c r="C1413" s="11"/>
      <c r="D1413" s="11"/>
      <c r="E1413" s="11"/>
      <c r="F1413" s="65"/>
      <c r="G1413" s="10">
        <v>637</v>
      </c>
      <c r="H1413" s="11" t="s">
        <v>123</v>
      </c>
      <c r="I1413" s="66">
        <f>60000+40000+7000+35000+5000+5000+15000+8000+30000+12000+2000-75000-16000</f>
        <v>128000</v>
      </c>
      <c r="J1413" s="66"/>
      <c r="K1413" s="66">
        <f t="shared" si="241"/>
        <v>128000</v>
      </c>
      <c r="L1413" s="66"/>
      <c r="M1413" s="66"/>
      <c r="N1413" s="66"/>
      <c r="O1413" s="66">
        <f t="shared" si="242"/>
        <v>0</v>
      </c>
      <c r="P1413" s="67"/>
      <c r="Q1413" s="68">
        <f t="shared" si="237"/>
        <v>128000</v>
      </c>
      <c r="R1413" s="68">
        <f t="shared" si="238"/>
        <v>0</v>
      </c>
      <c r="S1413" s="68">
        <f t="shared" si="239"/>
        <v>128000</v>
      </c>
    </row>
    <row r="1414" spans="2:19" s="79" customFormat="1" ht="36" x14ac:dyDescent="0.2">
      <c r="B1414" s="48">
        <f t="shared" si="240"/>
        <v>20</v>
      </c>
      <c r="C1414" s="196"/>
      <c r="D1414" s="196"/>
      <c r="E1414" s="196"/>
      <c r="F1414" s="197"/>
      <c r="G1414" s="198">
        <v>600</v>
      </c>
      <c r="H1414" s="214" t="s">
        <v>588</v>
      </c>
      <c r="I1414" s="199">
        <v>730000</v>
      </c>
      <c r="J1414" s="199"/>
      <c r="K1414" s="199">
        <f t="shared" si="241"/>
        <v>730000</v>
      </c>
      <c r="L1414" s="199"/>
      <c r="M1414" s="199"/>
      <c r="N1414" s="199"/>
      <c r="O1414" s="199">
        <f t="shared" si="242"/>
        <v>0</v>
      </c>
      <c r="P1414" s="200"/>
      <c r="Q1414" s="80">
        <f t="shared" si="237"/>
        <v>730000</v>
      </c>
      <c r="R1414" s="80">
        <f t="shared" si="238"/>
        <v>0</v>
      </c>
      <c r="S1414" s="80">
        <f t="shared" si="239"/>
        <v>730000</v>
      </c>
    </row>
    <row r="1415" spans="2:19" ht="15" x14ac:dyDescent="0.2">
      <c r="B1415" s="48">
        <f t="shared" si="240"/>
        <v>21</v>
      </c>
      <c r="C1415" s="51">
        <v>3</v>
      </c>
      <c r="D1415" s="435" t="s">
        <v>138</v>
      </c>
      <c r="E1415" s="436"/>
      <c r="F1415" s="436"/>
      <c r="G1415" s="436"/>
      <c r="H1415" s="436"/>
      <c r="I1415" s="52">
        <f>I1416+I1417+I1418</f>
        <v>327200</v>
      </c>
      <c r="J1415" s="52">
        <f>J1416+J1417+J1418</f>
        <v>0</v>
      </c>
      <c r="K1415" s="52">
        <f t="shared" si="241"/>
        <v>327200</v>
      </c>
      <c r="L1415" s="53"/>
      <c r="M1415" s="52">
        <f>M1423</f>
        <v>4547300</v>
      </c>
      <c r="N1415" s="52">
        <f>N1423</f>
        <v>-900</v>
      </c>
      <c r="O1415" s="52">
        <f t="shared" si="242"/>
        <v>4546400</v>
      </c>
      <c r="P1415" s="54"/>
      <c r="Q1415" s="72">
        <f t="shared" si="237"/>
        <v>4874500</v>
      </c>
      <c r="R1415" s="72">
        <f t="shared" si="238"/>
        <v>-900</v>
      </c>
      <c r="S1415" s="72">
        <f t="shared" si="239"/>
        <v>4873600</v>
      </c>
    </row>
    <row r="1416" spans="2:19" x14ac:dyDescent="0.2">
      <c r="B1416" s="48">
        <f t="shared" si="240"/>
        <v>22</v>
      </c>
      <c r="C1416" s="9"/>
      <c r="D1416" s="9"/>
      <c r="E1416" s="9"/>
      <c r="F1416" s="61" t="s">
        <v>75</v>
      </c>
      <c r="G1416" s="8">
        <v>610</v>
      </c>
      <c r="H1416" s="9" t="s">
        <v>132</v>
      </c>
      <c r="I1416" s="62">
        <v>1000</v>
      </c>
      <c r="J1416" s="62"/>
      <c r="K1416" s="62">
        <f t="shared" si="241"/>
        <v>1000</v>
      </c>
      <c r="L1416" s="62"/>
      <c r="M1416" s="62"/>
      <c r="N1416" s="62"/>
      <c r="O1416" s="62">
        <f t="shared" si="242"/>
        <v>0</v>
      </c>
      <c r="P1416" s="63"/>
      <c r="Q1416" s="64">
        <f t="shared" si="237"/>
        <v>1000</v>
      </c>
      <c r="R1416" s="64">
        <f t="shared" si="238"/>
        <v>0</v>
      </c>
      <c r="S1416" s="64">
        <f t="shared" si="239"/>
        <v>1000</v>
      </c>
    </row>
    <row r="1417" spans="2:19" x14ac:dyDescent="0.2">
      <c r="B1417" s="48">
        <f t="shared" si="240"/>
        <v>23</v>
      </c>
      <c r="C1417" s="9"/>
      <c r="D1417" s="9"/>
      <c r="E1417" s="9"/>
      <c r="F1417" s="61" t="s">
        <v>75</v>
      </c>
      <c r="G1417" s="8">
        <v>620</v>
      </c>
      <c r="H1417" s="9" t="s">
        <v>125</v>
      </c>
      <c r="I1417" s="62">
        <f>1200+1000+270+2800+180+600+200+950</f>
        <v>7200</v>
      </c>
      <c r="J1417" s="62"/>
      <c r="K1417" s="62">
        <f t="shared" si="241"/>
        <v>7200</v>
      </c>
      <c r="L1417" s="62"/>
      <c r="M1417" s="62"/>
      <c r="N1417" s="62"/>
      <c r="O1417" s="62">
        <f t="shared" si="242"/>
        <v>0</v>
      </c>
      <c r="P1417" s="63"/>
      <c r="Q1417" s="64">
        <f t="shared" si="237"/>
        <v>7200</v>
      </c>
      <c r="R1417" s="64">
        <f t="shared" si="238"/>
        <v>0</v>
      </c>
      <c r="S1417" s="64">
        <f t="shared" si="239"/>
        <v>7200</v>
      </c>
    </row>
    <row r="1418" spans="2:19" x14ac:dyDescent="0.2">
      <c r="B1418" s="48">
        <f t="shared" si="240"/>
        <v>24</v>
      </c>
      <c r="C1418" s="9"/>
      <c r="D1418" s="9"/>
      <c r="E1418" s="9"/>
      <c r="F1418" s="61" t="s">
        <v>75</v>
      </c>
      <c r="G1418" s="8">
        <v>630</v>
      </c>
      <c r="H1418" s="9" t="s">
        <v>122</v>
      </c>
      <c r="I1418" s="62">
        <f>I1422+I1421+I1420+I1419</f>
        <v>319000</v>
      </c>
      <c r="J1418" s="62">
        <f>J1422+J1421+J1420+J1419</f>
        <v>0</v>
      </c>
      <c r="K1418" s="62">
        <f t="shared" si="241"/>
        <v>319000</v>
      </c>
      <c r="L1418" s="62"/>
      <c r="M1418" s="62"/>
      <c r="N1418" s="62"/>
      <c r="O1418" s="62">
        <f t="shared" si="242"/>
        <v>0</v>
      </c>
      <c r="P1418" s="63"/>
      <c r="Q1418" s="64">
        <f t="shared" si="237"/>
        <v>319000</v>
      </c>
      <c r="R1418" s="64">
        <f t="shared" si="238"/>
        <v>0</v>
      </c>
      <c r="S1418" s="64">
        <f t="shared" si="239"/>
        <v>319000</v>
      </c>
    </row>
    <row r="1419" spans="2:19" x14ac:dyDescent="0.2">
      <c r="B1419" s="48">
        <f t="shared" si="240"/>
        <v>25</v>
      </c>
      <c r="C1419" s="11"/>
      <c r="D1419" s="11"/>
      <c r="E1419" s="11"/>
      <c r="F1419" s="65"/>
      <c r="G1419" s="10">
        <v>632</v>
      </c>
      <c r="H1419" s="11" t="s">
        <v>135</v>
      </c>
      <c r="I1419" s="66">
        <v>253000</v>
      </c>
      <c r="J1419" s="66"/>
      <c r="K1419" s="66">
        <f t="shared" si="241"/>
        <v>253000</v>
      </c>
      <c r="L1419" s="66"/>
      <c r="M1419" s="66"/>
      <c r="N1419" s="66"/>
      <c r="O1419" s="66">
        <f t="shared" si="242"/>
        <v>0</v>
      </c>
      <c r="P1419" s="67"/>
      <c r="Q1419" s="68">
        <f t="shared" si="237"/>
        <v>253000</v>
      </c>
      <c r="R1419" s="68">
        <f t="shared" si="238"/>
        <v>0</v>
      </c>
      <c r="S1419" s="68">
        <f t="shared" si="239"/>
        <v>253000</v>
      </c>
    </row>
    <row r="1420" spans="2:19" x14ac:dyDescent="0.2">
      <c r="B1420" s="48">
        <f t="shared" si="240"/>
        <v>26</v>
      </c>
      <c r="C1420" s="11"/>
      <c r="D1420" s="11"/>
      <c r="E1420" s="11"/>
      <c r="F1420" s="65"/>
      <c r="G1420" s="10">
        <v>633</v>
      </c>
      <c r="H1420" s="11" t="s">
        <v>126</v>
      </c>
      <c r="I1420" s="66">
        <v>9000</v>
      </c>
      <c r="J1420" s="66"/>
      <c r="K1420" s="66">
        <f t="shared" si="241"/>
        <v>9000</v>
      </c>
      <c r="L1420" s="66"/>
      <c r="M1420" s="66"/>
      <c r="N1420" s="66"/>
      <c r="O1420" s="66">
        <f t="shared" si="242"/>
        <v>0</v>
      </c>
      <c r="P1420" s="67"/>
      <c r="Q1420" s="68">
        <f t="shared" si="237"/>
        <v>9000</v>
      </c>
      <c r="R1420" s="68">
        <f t="shared" si="238"/>
        <v>0</v>
      </c>
      <c r="S1420" s="68">
        <f t="shared" si="239"/>
        <v>9000</v>
      </c>
    </row>
    <row r="1421" spans="2:19" x14ac:dyDescent="0.2">
      <c r="B1421" s="48">
        <f t="shared" si="240"/>
        <v>27</v>
      </c>
      <c r="C1421" s="11"/>
      <c r="D1421" s="11"/>
      <c r="E1421" s="11"/>
      <c r="F1421" s="65"/>
      <c r="G1421" s="10">
        <v>635</v>
      </c>
      <c r="H1421" s="11" t="s">
        <v>134</v>
      </c>
      <c r="I1421" s="66">
        <v>24000</v>
      </c>
      <c r="J1421" s="66"/>
      <c r="K1421" s="66">
        <f t="shared" si="241"/>
        <v>24000</v>
      </c>
      <c r="L1421" s="66"/>
      <c r="M1421" s="66"/>
      <c r="N1421" s="66"/>
      <c r="O1421" s="66">
        <f t="shared" si="242"/>
        <v>0</v>
      </c>
      <c r="P1421" s="67"/>
      <c r="Q1421" s="68">
        <f t="shared" si="237"/>
        <v>24000</v>
      </c>
      <c r="R1421" s="68">
        <f t="shared" si="238"/>
        <v>0</v>
      </c>
      <c r="S1421" s="68">
        <f t="shared" si="239"/>
        <v>24000</v>
      </c>
    </row>
    <row r="1422" spans="2:19" x14ac:dyDescent="0.2">
      <c r="B1422" s="48">
        <f t="shared" si="240"/>
        <v>28</v>
      </c>
      <c r="C1422" s="11"/>
      <c r="D1422" s="11"/>
      <c r="E1422" s="11"/>
      <c r="F1422" s="65"/>
      <c r="G1422" s="10">
        <v>637</v>
      </c>
      <c r="H1422" s="11" t="s">
        <v>123</v>
      </c>
      <c r="I1422" s="66">
        <v>33000</v>
      </c>
      <c r="J1422" s="66"/>
      <c r="K1422" s="66">
        <f t="shared" si="241"/>
        <v>33000</v>
      </c>
      <c r="L1422" s="66"/>
      <c r="M1422" s="66"/>
      <c r="N1422" s="66"/>
      <c r="O1422" s="66">
        <f t="shared" si="242"/>
        <v>0</v>
      </c>
      <c r="P1422" s="67"/>
      <c r="Q1422" s="68">
        <f t="shared" si="237"/>
        <v>33000</v>
      </c>
      <c r="R1422" s="68">
        <f t="shared" si="238"/>
        <v>0</v>
      </c>
      <c r="S1422" s="68">
        <f t="shared" si="239"/>
        <v>33000</v>
      </c>
    </row>
    <row r="1423" spans="2:19" x14ac:dyDescent="0.2">
      <c r="B1423" s="48">
        <f t="shared" si="240"/>
        <v>29</v>
      </c>
      <c r="C1423" s="9"/>
      <c r="D1423" s="9"/>
      <c r="E1423" s="9"/>
      <c r="F1423" s="61" t="s">
        <v>75</v>
      </c>
      <c r="G1423" s="8">
        <v>710</v>
      </c>
      <c r="H1423" s="9" t="s">
        <v>176</v>
      </c>
      <c r="I1423" s="62"/>
      <c r="J1423" s="62"/>
      <c r="K1423" s="62">
        <f t="shared" si="241"/>
        <v>0</v>
      </c>
      <c r="L1423" s="62"/>
      <c r="M1423" s="62">
        <f>M1424+M1428</f>
        <v>4547300</v>
      </c>
      <c r="N1423" s="62">
        <f>N1424+N1428</f>
        <v>-900</v>
      </c>
      <c r="O1423" s="62">
        <f t="shared" si="242"/>
        <v>4546400</v>
      </c>
      <c r="P1423" s="63"/>
      <c r="Q1423" s="64">
        <f t="shared" si="237"/>
        <v>4547300</v>
      </c>
      <c r="R1423" s="64">
        <f t="shared" si="238"/>
        <v>-900</v>
      </c>
      <c r="S1423" s="64">
        <f t="shared" si="239"/>
        <v>4546400</v>
      </c>
    </row>
    <row r="1424" spans="2:19" x14ac:dyDescent="0.2">
      <c r="B1424" s="48">
        <f t="shared" si="240"/>
        <v>30</v>
      </c>
      <c r="C1424" s="11"/>
      <c r="D1424" s="11"/>
      <c r="E1424" s="11"/>
      <c r="F1424" s="65"/>
      <c r="G1424" s="10">
        <v>716</v>
      </c>
      <c r="H1424" s="11" t="s">
        <v>216</v>
      </c>
      <c r="I1424" s="66"/>
      <c r="J1424" s="66"/>
      <c r="K1424" s="66">
        <f t="shared" si="241"/>
        <v>0</v>
      </c>
      <c r="L1424" s="66"/>
      <c r="M1424" s="66">
        <f>SUM(M1425:M1427)</f>
        <v>194000</v>
      </c>
      <c r="N1424" s="66">
        <f>SUM(N1425:N1427)</f>
        <v>0</v>
      </c>
      <c r="O1424" s="66">
        <f t="shared" si="242"/>
        <v>194000</v>
      </c>
      <c r="P1424" s="67"/>
      <c r="Q1424" s="68">
        <f t="shared" si="237"/>
        <v>194000</v>
      </c>
      <c r="R1424" s="68">
        <f t="shared" si="238"/>
        <v>0</v>
      </c>
      <c r="S1424" s="68">
        <f t="shared" si="239"/>
        <v>194000</v>
      </c>
    </row>
    <row r="1425" spans="2:19" x14ac:dyDescent="0.2">
      <c r="B1425" s="48">
        <f t="shared" si="240"/>
        <v>31</v>
      </c>
      <c r="C1425" s="81"/>
      <c r="D1425" s="81"/>
      <c r="E1425" s="81"/>
      <c r="F1425" s="12"/>
      <c r="G1425" s="12"/>
      <c r="H1425" s="13" t="s">
        <v>522</v>
      </c>
      <c r="I1425" s="83"/>
      <c r="J1425" s="83"/>
      <c r="K1425" s="83">
        <f t="shared" si="241"/>
        <v>0</v>
      </c>
      <c r="L1425" s="83"/>
      <c r="M1425" s="83">
        <v>169000</v>
      </c>
      <c r="N1425" s="83"/>
      <c r="O1425" s="83">
        <f t="shared" si="242"/>
        <v>169000</v>
      </c>
      <c r="P1425" s="84"/>
      <c r="Q1425" s="85">
        <f t="shared" si="237"/>
        <v>169000</v>
      </c>
      <c r="R1425" s="85">
        <f t="shared" si="238"/>
        <v>0</v>
      </c>
      <c r="S1425" s="85">
        <f t="shared" si="239"/>
        <v>169000</v>
      </c>
    </row>
    <row r="1426" spans="2:19" x14ac:dyDescent="0.2">
      <c r="B1426" s="48">
        <f t="shared" si="240"/>
        <v>32</v>
      </c>
      <c r="C1426" s="81"/>
      <c r="D1426" s="81"/>
      <c r="E1426" s="81"/>
      <c r="F1426" s="12"/>
      <c r="G1426" s="12"/>
      <c r="H1426" s="13" t="s">
        <v>497</v>
      </c>
      <c r="I1426" s="83"/>
      <c r="J1426" s="83"/>
      <c r="K1426" s="83">
        <f t="shared" si="241"/>
        <v>0</v>
      </c>
      <c r="L1426" s="83"/>
      <c r="M1426" s="83">
        <v>5000</v>
      </c>
      <c r="N1426" s="83"/>
      <c r="O1426" s="83">
        <f t="shared" si="242"/>
        <v>5000</v>
      </c>
      <c r="P1426" s="84"/>
      <c r="Q1426" s="85">
        <f t="shared" si="237"/>
        <v>5000</v>
      </c>
      <c r="R1426" s="85">
        <f t="shared" si="238"/>
        <v>0</v>
      </c>
      <c r="S1426" s="85">
        <f t="shared" si="239"/>
        <v>5000</v>
      </c>
    </row>
    <row r="1427" spans="2:19" x14ac:dyDescent="0.2">
      <c r="B1427" s="48">
        <f t="shared" si="240"/>
        <v>33</v>
      </c>
      <c r="C1427" s="81"/>
      <c r="D1427" s="81"/>
      <c r="E1427" s="81"/>
      <c r="F1427" s="12"/>
      <c r="G1427" s="12"/>
      <c r="H1427" s="13" t="s">
        <v>537</v>
      </c>
      <c r="I1427" s="83"/>
      <c r="J1427" s="83"/>
      <c r="K1427" s="83">
        <f t="shared" si="241"/>
        <v>0</v>
      </c>
      <c r="L1427" s="83"/>
      <c r="M1427" s="83">
        <v>20000</v>
      </c>
      <c r="N1427" s="83"/>
      <c r="O1427" s="83">
        <f t="shared" si="242"/>
        <v>20000</v>
      </c>
      <c r="P1427" s="84"/>
      <c r="Q1427" s="85">
        <f t="shared" si="237"/>
        <v>20000</v>
      </c>
      <c r="R1427" s="85">
        <f t="shared" si="238"/>
        <v>0</v>
      </c>
      <c r="S1427" s="85">
        <f t="shared" si="239"/>
        <v>20000</v>
      </c>
    </row>
    <row r="1428" spans="2:19" x14ac:dyDescent="0.2">
      <c r="B1428" s="48">
        <f t="shared" si="240"/>
        <v>34</v>
      </c>
      <c r="C1428" s="11"/>
      <c r="D1428" s="11"/>
      <c r="E1428" s="11"/>
      <c r="F1428" s="65"/>
      <c r="G1428" s="10">
        <v>717</v>
      </c>
      <c r="H1428" s="11" t="s">
        <v>183</v>
      </c>
      <c r="I1428" s="66"/>
      <c r="J1428" s="66"/>
      <c r="K1428" s="66">
        <f t="shared" si="241"/>
        <v>0</v>
      </c>
      <c r="L1428" s="66"/>
      <c r="M1428" s="66">
        <f>SUM(M1429:M1431)</f>
        <v>4353300</v>
      </c>
      <c r="N1428" s="66">
        <f>SUM(N1429:N1431)</f>
        <v>-900</v>
      </c>
      <c r="O1428" s="66">
        <f t="shared" si="242"/>
        <v>4352400</v>
      </c>
      <c r="P1428" s="67"/>
      <c r="Q1428" s="68">
        <f t="shared" si="237"/>
        <v>4353300</v>
      </c>
      <c r="R1428" s="68">
        <f t="shared" si="238"/>
        <v>-900</v>
      </c>
      <c r="S1428" s="68">
        <f t="shared" si="239"/>
        <v>4352400</v>
      </c>
    </row>
    <row r="1429" spans="2:19" x14ac:dyDescent="0.2">
      <c r="B1429" s="48">
        <f t="shared" si="240"/>
        <v>35</v>
      </c>
      <c r="C1429" s="81"/>
      <c r="D1429" s="81"/>
      <c r="E1429" s="81"/>
      <c r="F1429" s="12"/>
      <c r="G1429" s="12"/>
      <c r="H1429" s="13" t="s">
        <v>493</v>
      </c>
      <c r="I1429" s="83"/>
      <c r="J1429" s="83"/>
      <c r="K1429" s="83">
        <f t="shared" si="241"/>
        <v>0</v>
      </c>
      <c r="L1429" s="83"/>
      <c r="M1429" s="83">
        <v>4050000</v>
      </c>
      <c r="N1429" s="83"/>
      <c r="O1429" s="83">
        <f t="shared" si="242"/>
        <v>4050000</v>
      </c>
      <c r="P1429" s="84"/>
      <c r="Q1429" s="85">
        <f t="shared" si="237"/>
        <v>4050000</v>
      </c>
      <c r="R1429" s="85">
        <f t="shared" si="238"/>
        <v>0</v>
      </c>
      <c r="S1429" s="85">
        <f t="shared" si="239"/>
        <v>4050000</v>
      </c>
    </row>
    <row r="1430" spans="2:19" x14ac:dyDescent="0.2">
      <c r="B1430" s="48">
        <f t="shared" si="240"/>
        <v>36</v>
      </c>
      <c r="C1430" s="81"/>
      <c r="D1430" s="81"/>
      <c r="E1430" s="81"/>
      <c r="F1430" s="12"/>
      <c r="G1430" s="12"/>
      <c r="H1430" s="13" t="s">
        <v>495</v>
      </c>
      <c r="I1430" s="83"/>
      <c r="J1430" s="83"/>
      <c r="K1430" s="83">
        <f t="shared" si="241"/>
        <v>0</v>
      </c>
      <c r="L1430" s="83"/>
      <c r="M1430" s="83">
        <v>300000</v>
      </c>
      <c r="N1430" s="83"/>
      <c r="O1430" s="83">
        <f t="shared" si="242"/>
        <v>300000</v>
      </c>
      <c r="P1430" s="84"/>
      <c r="Q1430" s="85">
        <f t="shared" ref="Q1430:Q1453" si="249">I1430+M1430</f>
        <v>300000</v>
      </c>
      <c r="R1430" s="85">
        <f t="shared" ref="R1430:R1453" si="250">J1430+N1430</f>
        <v>0</v>
      </c>
      <c r="S1430" s="85">
        <f t="shared" ref="S1430:S1453" si="251">K1430+O1430</f>
        <v>300000</v>
      </c>
    </row>
    <row r="1431" spans="2:19" x14ac:dyDescent="0.2">
      <c r="B1431" s="48">
        <f t="shared" si="240"/>
        <v>37</v>
      </c>
      <c r="C1431" s="81"/>
      <c r="D1431" s="81"/>
      <c r="E1431" s="81"/>
      <c r="F1431" s="12"/>
      <c r="G1431" s="12"/>
      <c r="H1431" s="13" t="s">
        <v>512</v>
      </c>
      <c r="I1431" s="83"/>
      <c r="J1431" s="83"/>
      <c r="K1431" s="83">
        <f t="shared" si="241"/>
        <v>0</v>
      </c>
      <c r="L1431" s="83"/>
      <c r="M1431" s="83">
        <v>3300</v>
      </c>
      <c r="N1431" s="83">
        <v>-900</v>
      </c>
      <c r="O1431" s="83">
        <f t="shared" si="242"/>
        <v>2400</v>
      </c>
      <c r="P1431" s="84"/>
      <c r="Q1431" s="85">
        <f t="shared" si="249"/>
        <v>3300</v>
      </c>
      <c r="R1431" s="85">
        <f t="shared" si="250"/>
        <v>-900</v>
      </c>
      <c r="S1431" s="85">
        <f t="shared" si="251"/>
        <v>2400</v>
      </c>
    </row>
    <row r="1432" spans="2:19" ht="15" x14ac:dyDescent="0.2">
      <c r="B1432" s="48">
        <f t="shared" si="240"/>
        <v>38</v>
      </c>
      <c r="C1432" s="51">
        <v>4</v>
      </c>
      <c r="D1432" s="472" t="s">
        <v>668</v>
      </c>
      <c r="E1432" s="473"/>
      <c r="F1432" s="473"/>
      <c r="G1432" s="473"/>
      <c r="H1432" s="473"/>
      <c r="I1432" s="52">
        <f>I1433+I1434+I1435+I1440</f>
        <v>776300</v>
      </c>
      <c r="J1432" s="52">
        <f>J1433+J1434+J1435+J1440</f>
        <v>100000</v>
      </c>
      <c r="K1432" s="52">
        <f t="shared" si="241"/>
        <v>876300</v>
      </c>
      <c r="L1432" s="53"/>
      <c r="M1432" s="52">
        <f>M1441</f>
        <v>3707839</v>
      </c>
      <c r="N1432" s="52">
        <f>N1441</f>
        <v>256156</v>
      </c>
      <c r="O1432" s="52">
        <f t="shared" si="242"/>
        <v>3963995</v>
      </c>
      <c r="P1432" s="54"/>
      <c r="Q1432" s="72">
        <f t="shared" si="249"/>
        <v>4484139</v>
      </c>
      <c r="R1432" s="72">
        <f t="shared" si="250"/>
        <v>356156</v>
      </c>
      <c r="S1432" s="72">
        <f t="shared" si="251"/>
        <v>4840295</v>
      </c>
    </row>
    <row r="1433" spans="2:19" x14ac:dyDescent="0.2">
      <c r="B1433" s="48">
        <f t="shared" si="240"/>
        <v>39</v>
      </c>
      <c r="C1433" s="9"/>
      <c r="D1433" s="9"/>
      <c r="E1433" s="9"/>
      <c r="F1433" s="61" t="s">
        <v>75</v>
      </c>
      <c r="G1433" s="8">
        <v>610</v>
      </c>
      <c r="H1433" s="9" t="s">
        <v>132</v>
      </c>
      <c r="I1433" s="62">
        <f>310000-31000</f>
        <v>279000</v>
      </c>
      <c r="J1433" s="62"/>
      <c r="K1433" s="62">
        <f t="shared" si="241"/>
        <v>279000</v>
      </c>
      <c r="L1433" s="62"/>
      <c r="M1433" s="62"/>
      <c r="N1433" s="62"/>
      <c r="O1433" s="62">
        <f t="shared" si="242"/>
        <v>0</v>
      </c>
      <c r="P1433" s="63"/>
      <c r="Q1433" s="64">
        <f t="shared" si="249"/>
        <v>279000</v>
      </c>
      <c r="R1433" s="64">
        <f t="shared" si="250"/>
        <v>0</v>
      </c>
      <c r="S1433" s="64">
        <f t="shared" si="251"/>
        <v>279000</v>
      </c>
    </row>
    <row r="1434" spans="2:19" x14ac:dyDescent="0.2">
      <c r="B1434" s="48">
        <f t="shared" si="240"/>
        <v>40</v>
      </c>
      <c r="C1434" s="11"/>
      <c r="D1434" s="11"/>
      <c r="E1434" s="11"/>
      <c r="F1434" s="61" t="s">
        <v>75</v>
      </c>
      <c r="G1434" s="8">
        <v>620</v>
      </c>
      <c r="H1434" s="9" t="s">
        <v>125</v>
      </c>
      <c r="I1434" s="62">
        <f>146000-29000-11700</f>
        <v>105300</v>
      </c>
      <c r="J1434" s="62"/>
      <c r="K1434" s="62">
        <f t="shared" si="241"/>
        <v>105300</v>
      </c>
      <c r="L1434" s="66"/>
      <c r="M1434" s="66"/>
      <c r="N1434" s="66"/>
      <c r="O1434" s="66">
        <f t="shared" si="242"/>
        <v>0</v>
      </c>
      <c r="P1434" s="67"/>
      <c r="Q1434" s="68">
        <f t="shared" si="249"/>
        <v>105300</v>
      </c>
      <c r="R1434" s="68">
        <f t="shared" si="250"/>
        <v>0</v>
      </c>
      <c r="S1434" s="68">
        <f t="shared" si="251"/>
        <v>105300</v>
      </c>
    </row>
    <row r="1435" spans="2:19" x14ac:dyDescent="0.2">
      <c r="B1435" s="48">
        <f t="shared" si="240"/>
        <v>41</v>
      </c>
      <c r="C1435" s="9"/>
      <c r="D1435" s="9"/>
      <c r="E1435" s="9"/>
      <c r="F1435" s="61" t="s">
        <v>75</v>
      </c>
      <c r="G1435" s="8">
        <v>630</v>
      </c>
      <c r="H1435" s="9" t="s">
        <v>122</v>
      </c>
      <c r="I1435" s="218">
        <f>SUM(I1436:I1439)</f>
        <v>383000</v>
      </c>
      <c r="J1435" s="218">
        <f>SUM(J1436:J1439)</f>
        <v>100000</v>
      </c>
      <c r="K1435" s="218">
        <f t="shared" si="241"/>
        <v>483000</v>
      </c>
      <c r="L1435" s="62"/>
      <c r="M1435" s="62"/>
      <c r="N1435" s="62"/>
      <c r="O1435" s="62">
        <f t="shared" si="242"/>
        <v>0</v>
      </c>
      <c r="P1435" s="63"/>
      <c r="Q1435" s="64">
        <f t="shared" si="249"/>
        <v>383000</v>
      </c>
      <c r="R1435" s="64">
        <f t="shared" si="250"/>
        <v>100000</v>
      </c>
      <c r="S1435" s="64">
        <f t="shared" si="251"/>
        <v>483000</v>
      </c>
    </row>
    <row r="1436" spans="2:19" x14ac:dyDescent="0.2">
      <c r="B1436" s="48">
        <f t="shared" si="240"/>
        <v>42</v>
      </c>
      <c r="C1436" s="11"/>
      <c r="D1436" s="11"/>
      <c r="E1436" s="11"/>
      <c r="F1436" s="65"/>
      <c r="G1436" s="219">
        <v>632</v>
      </c>
      <c r="H1436" s="220" t="s">
        <v>135</v>
      </c>
      <c r="I1436" s="221">
        <v>100000</v>
      </c>
      <c r="J1436" s="221"/>
      <c r="K1436" s="221">
        <f t="shared" si="241"/>
        <v>100000</v>
      </c>
      <c r="L1436" s="66"/>
      <c r="M1436" s="176"/>
      <c r="N1436" s="176"/>
      <c r="O1436" s="176">
        <f t="shared" si="242"/>
        <v>0</v>
      </c>
      <c r="P1436" s="67"/>
      <c r="Q1436" s="222">
        <f t="shared" si="249"/>
        <v>100000</v>
      </c>
      <c r="R1436" s="222">
        <f t="shared" si="250"/>
        <v>0</v>
      </c>
      <c r="S1436" s="222">
        <f t="shared" si="251"/>
        <v>100000</v>
      </c>
    </row>
    <row r="1437" spans="2:19" x14ac:dyDescent="0.2">
      <c r="B1437" s="48">
        <f t="shared" si="240"/>
        <v>43</v>
      </c>
      <c r="C1437" s="11"/>
      <c r="D1437" s="11"/>
      <c r="E1437" s="11"/>
      <c r="F1437" s="65"/>
      <c r="G1437" s="10">
        <v>633</v>
      </c>
      <c r="H1437" s="11" t="s">
        <v>126</v>
      </c>
      <c r="I1437" s="66">
        <v>54000</v>
      </c>
      <c r="J1437" s="66"/>
      <c r="K1437" s="66">
        <f t="shared" si="241"/>
        <v>54000</v>
      </c>
      <c r="L1437" s="66"/>
      <c r="M1437" s="66"/>
      <c r="N1437" s="66"/>
      <c r="O1437" s="66">
        <f t="shared" si="242"/>
        <v>0</v>
      </c>
      <c r="P1437" s="67"/>
      <c r="Q1437" s="68">
        <f t="shared" si="249"/>
        <v>54000</v>
      </c>
      <c r="R1437" s="68">
        <f t="shared" si="250"/>
        <v>0</v>
      </c>
      <c r="S1437" s="68">
        <f t="shared" si="251"/>
        <v>54000</v>
      </c>
    </row>
    <row r="1438" spans="2:19" x14ac:dyDescent="0.2">
      <c r="B1438" s="48">
        <f t="shared" si="240"/>
        <v>44</v>
      </c>
      <c r="C1438" s="11"/>
      <c r="D1438" s="11"/>
      <c r="E1438" s="11"/>
      <c r="F1438" s="65"/>
      <c r="G1438" s="10">
        <v>635</v>
      </c>
      <c r="H1438" s="11" t="s">
        <v>134</v>
      </c>
      <c r="I1438" s="66">
        <v>4000</v>
      </c>
      <c r="J1438" s="66"/>
      <c r="K1438" s="66">
        <f t="shared" si="241"/>
        <v>4000</v>
      </c>
      <c r="L1438" s="66"/>
      <c r="M1438" s="66"/>
      <c r="N1438" s="66"/>
      <c r="O1438" s="66">
        <f t="shared" si="242"/>
        <v>0</v>
      </c>
      <c r="P1438" s="67"/>
      <c r="Q1438" s="68">
        <f t="shared" si="249"/>
        <v>4000</v>
      </c>
      <c r="R1438" s="68">
        <f t="shared" si="250"/>
        <v>0</v>
      </c>
      <c r="S1438" s="68">
        <f t="shared" si="251"/>
        <v>4000</v>
      </c>
    </row>
    <row r="1439" spans="2:19" x14ac:dyDescent="0.2">
      <c r="B1439" s="48">
        <f t="shared" si="240"/>
        <v>45</v>
      </c>
      <c r="C1439" s="11"/>
      <c r="D1439" s="11"/>
      <c r="E1439" s="11"/>
      <c r="F1439" s="65"/>
      <c r="G1439" s="10">
        <v>637</v>
      </c>
      <c r="H1439" s="11" t="s">
        <v>123</v>
      </c>
      <c r="I1439" s="66">
        <f>500000-150000-25000-100000</f>
        <v>225000</v>
      </c>
      <c r="J1439" s="66">
        <v>100000</v>
      </c>
      <c r="K1439" s="66">
        <f t="shared" si="241"/>
        <v>325000</v>
      </c>
      <c r="L1439" s="66"/>
      <c r="M1439" s="66"/>
      <c r="N1439" s="66"/>
      <c r="O1439" s="66">
        <f t="shared" si="242"/>
        <v>0</v>
      </c>
      <c r="P1439" s="67"/>
      <c r="Q1439" s="68">
        <f t="shared" si="249"/>
        <v>225000</v>
      </c>
      <c r="R1439" s="68">
        <f t="shared" si="250"/>
        <v>100000</v>
      </c>
      <c r="S1439" s="68">
        <f t="shared" si="251"/>
        <v>325000</v>
      </c>
    </row>
    <row r="1440" spans="2:19" x14ac:dyDescent="0.2">
      <c r="B1440" s="48">
        <f t="shared" si="240"/>
        <v>46</v>
      </c>
      <c r="C1440" s="9"/>
      <c r="D1440" s="9"/>
      <c r="E1440" s="9"/>
      <c r="F1440" s="61" t="s">
        <v>75</v>
      </c>
      <c r="G1440" s="8">
        <v>640</v>
      </c>
      <c r="H1440" s="9" t="s">
        <v>130</v>
      </c>
      <c r="I1440" s="218">
        <f>8000+1000</f>
        <v>9000</v>
      </c>
      <c r="J1440" s="218"/>
      <c r="K1440" s="218">
        <f t="shared" si="241"/>
        <v>9000</v>
      </c>
      <c r="L1440" s="62"/>
      <c r="M1440" s="62"/>
      <c r="N1440" s="62"/>
      <c r="O1440" s="62">
        <f t="shared" si="242"/>
        <v>0</v>
      </c>
      <c r="P1440" s="63"/>
      <c r="Q1440" s="64">
        <f t="shared" si="249"/>
        <v>9000</v>
      </c>
      <c r="R1440" s="64">
        <f t="shared" si="250"/>
        <v>0</v>
      </c>
      <c r="S1440" s="64">
        <f t="shared" si="251"/>
        <v>9000</v>
      </c>
    </row>
    <row r="1441" spans="2:19" x14ac:dyDescent="0.2">
      <c r="B1441" s="48">
        <f t="shared" si="240"/>
        <v>47</v>
      </c>
      <c r="C1441" s="9"/>
      <c r="D1441" s="9"/>
      <c r="E1441" s="9"/>
      <c r="F1441" s="61" t="s">
        <v>75</v>
      </c>
      <c r="G1441" s="8">
        <v>710</v>
      </c>
      <c r="H1441" s="9" t="s">
        <v>176</v>
      </c>
      <c r="I1441" s="62"/>
      <c r="J1441" s="62">
        <f>J1442</f>
        <v>0</v>
      </c>
      <c r="K1441" s="62">
        <f t="shared" si="241"/>
        <v>0</v>
      </c>
      <c r="L1441" s="62"/>
      <c r="M1441" s="62">
        <f>M1442+M1445+M1447</f>
        <v>3707839</v>
      </c>
      <c r="N1441" s="62">
        <f>N1442+N1445+N1447</f>
        <v>256156</v>
      </c>
      <c r="O1441" s="62">
        <f t="shared" si="242"/>
        <v>3963995</v>
      </c>
      <c r="P1441" s="63"/>
      <c r="Q1441" s="64">
        <f t="shared" si="249"/>
        <v>3707839</v>
      </c>
      <c r="R1441" s="64">
        <f t="shared" si="250"/>
        <v>256156</v>
      </c>
      <c r="S1441" s="64">
        <f t="shared" si="251"/>
        <v>3963995</v>
      </c>
    </row>
    <row r="1442" spans="2:19" x14ac:dyDescent="0.2">
      <c r="B1442" s="48">
        <f t="shared" si="240"/>
        <v>48</v>
      </c>
      <c r="C1442" s="9"/>
      <c r="D1442" s="9"/>
      <c r="E1442" s="9"/>
      <c r="F1442" s="61"/>
      <c r="G1442" s="10">
        <v>713</v>
      </c>
      <c r="H1442" s="11" t="s">
        <v>219</v>
      </c>
      <c r="I1442" s="66"/>
      <c r="J1442" s="66">
        <f>J1443</f>
        <v>0</v>
      </c>
      <c r="K1442" s="66">
        <f t="shared" si="241"/>
        <v>0</v>
      </c>
      <c r="L1442" s="66"/>
      <c r="M1442" s="66">
        <f>SUM(M1443:M1443)</f>
        <v>14860</v>
      </c>
      <c r="N1442" s="66">
        <f>SUM(N1443:N1444)</f>
        <v>241156</v>
      </c>
      <c r="O1442" s="66">
        <f t="shared" si="242"/>
        <v>256016</v>
      </c>
      <c r="P1442" s="63"/>
      <c r="Q1442" s="64">
        <f t="shared" si="249"/>
        <v>14860</v>
      </c>
      <c r="R1442" s="64">
        <f t="shared" si="250"/>
        <v>241156</v>
      </c>
      <c r="S1442" s="64">
        <f t="shared" si="251"/>
        <v>256016</v>
      </c>
    </row>
    <row r="1443" spans="2:19" x14ac:dyDescent="0.2">
      <c r="B1443" s="48">
        <f t="shared" si="240"/>
        <v>49</v>
      </c>
      <c r="C1443" s="9"/>
      <c r="D1443" s="9"/>
      <c r="E1443" s="9"/>
      <c r="F1443" s="61"/>
      <c r="G1443" s="12"/>
      <c r="H1443" s="13" t="s">
        <v>449</v>
      </c>
      <c r="I1443" s="83"/>
      <c r="J1443" s="83"/>
      <c r="K1443" s="83">
        <f t="shared" si="241"/>
        <v>0</v>
      </c>
      <c r="L1443" s="83"/>
      <c r="M1443" s="83">
        <v>14860</v>
      </c>
      <c r="N1443" s="83">
        <v>1156</v>
      </c>
      <c r="O1443" s="83">
        <f t="shared" si="242"/>
        <v>16016</v>
      </c>
      <c r="P1443" s="84"/>
      <c r="Q1443" s="85">
        <f t="shared" si="249"/>
        <v>14860</v>
      </c>
      <c r="R1443" s="85">
        <f t="shared" si="250"/>
        <v>1156</v>
      </c>
      <c r="S1443" s="85">
        <f t="shared" si="251"/>
        <v>16016</v>
      </c>
    </row>
    <row r="1444" spans="2:19" x14ac:dyDescent="0.2">
      <c r="B1444" s="48">
        <f t="shared" si="240"/>
        <v>50</v>
      </c>
      <c r="C1444" s="9"/>
      <c r="D1444" s="9"/>
      <c r="E1444" s="9"/>
      <c r="F1444" s="61"/>
      <c r="G1444" s="12"/>
      <c r="H1444" s="13" t="s">
        <v>630</v>
      </c>
      <c r="I1444" s="83"/>
      <c r="J1444" s="83"/>
      <c r="K1444" s="83">
        <v>0</v>
      </c>
      <c r="L1444" s="223"/>
      <c r="M1444" s="223">
        <v>0</v>
      </c>
      <c r="N1444" s="223">
        <v>240000</v>
      </c>
      <c r="O1444" s="83">
        <f>M1444+N1444</f>
        <v>240000</v>
      </c>
      <c r="P1444" s="84"/>
      <c r="Q1444" s="85">
        <f t="shared" si="249"/>
        <v>0</v>
      </c>
      <c r="R1444" s="85">
        <f t="shared" si="250"/>
        <v>240000</v>
      </c>
      <c r="S1444" s="85">
        <f t="shared" si="251"/>
        <v>240000</v>
      </c>
    </row>
    <row r="1445" spans="2:19" x14ac:dyDescent="0.2">
      <c r="B1445" s="48">
        <f t="shared" si="240"/>
        <v>51</v>
      </c>
      <c r="C1445" s="81"/>
      <c r="D1445" s="81"/>
      <c r="E1445" s="81"/>
      <c r="F1445" s="12"/>
      <c r="G1445" s="10">
        <v>716</v>
      </c>
      <c r="H1445" s="11" t="s">
        <v>216</v>
      </c>
      <c r="I1445" s="83"/>
      <c r="J1445" s="83"/>
      <c r="K1445" s="83">
        <f t="shared" si="241"/>
        <v>0</v>
      </c>
      <c r="L1445" s="224"/>
      <c r="M1445" s="224">
        <f>M1446</f>
        <v>92979</v>
      </c>
      <c r="N1445" s="224">
        <f>N1446</f>
        <v>0</v>
      </c>
      <c r="O1445" s="224">
        <f t="shared" si="242"/>
        <v>92979</v>
      </c>
      <c r="P1445" s="84"/>
      <c r="Q1445" s="216">
        <f t="shared" si="249"/>
        <v>92979</v>
      </c>
      <c r="R1445" s="216">
        <f t="shared" si="250"/>
        <v>0</v>
      </c>
      <c r="S1445" s="216">
        <f t="shared" si="251"/>
        <v>92979</v>
      </c>
    </row>
    <row r="1446" spans="2:19" x14ac:dyDescent="0.2">
      <c r="B1446" s="48">
        <f t="shared" si="240"/>
        <v>52</v>
      </c>
      <c r="C1446" s="81"/>
      <c r="D1446" s="81"/>
      <c r="E1446" s="81"/>
      <c r="F1446" s="12"/>
      <c r="G1446" s="12"/>
      <c r="H1446" s="13" t="s">
        <v>412</v>
      </c>
      <c r="I1446" s="83"/>
      <c r="J1446" s="83"/>
      <c r="K1446" s="83">
        <f t="shared" si="241"/>
        <v>0</v>
      </c>
      <c r="L1446" s="224"/>
      <c r="M1446" s="224">
        <v>92979</v>
      </c>
      <c r="N1446" s="224"/>
      <c r="O1446" s="224">
        <f t="shared" si="242"/>
        <v>92979</v>
      </c>
      <c r="P1446" s="84"/>
      <c r="Q1446" s="216">
        <f t="shared" si="249"/>
        <v>92979</v>
      </c>
      <c r="R1446" s="216">
        <f t="shared" si="250"/>
        <v>0</v>
      </c>
      <c r="S1446" s="216">
        <f t="shared" si="251"/>
        <v>92979</v>
      </c>
    </row>
    <row r="1447" spans="2:19" x14ac:dyDescent="0.2">
      <c r="B1447" s="48">
        <f t="shared" si="240"/>
        <v>53</v>
      </c>
      <c r="C1447" s="11"/>
      <c r="D1447" s="11"/>
      <c r="E1447" s="11"/>
      <c r="F1447" s="65"/>
      <c r="G1447" s="10">
        <v>717</v>
      </c>
      <c r="H1447" s="11" t="s">
        <v>183</v>
      </c>
      <c r="I1447" s="66"/>
      <c r="J1447" s="66"/>
      <c r="K1447" s="66">
        <f t="shared" si="241"/>
        <v>0</v>
      </c>
      <c r="L1447" s="225"/>
      <c r="M1447" s="225">
        <f>SUM(M1448:M1448)</f>
        <v>3600000</v>
      </c>
      <c r="N1447" s="225">
        <f>SUM(N1448:N1448)</f>
        <v>15000</v>
      </c>
      <c r="O1447" s="225">
        <f t="shared" si="242"/>
        <v>3615000</v>
      </c>
      <c r="P1447" s="67"/>
      <c r="Q1447" s="68">
        <f t="shared" si="249"/>
        <v>3600000</v>
      </c>
      <c r="R1447" s="68">
        <f t="shared" si="250"/>
        <v>15000</v>
      </c>
      <c r="S1447" s="68">
        <f t="shared" si="251"/>
        <v>3615000</v>
      </c>
    </row>
    <row r="1448" spans="2:19" x14ac:dyDescent="0.2">
      <c r="B1448" s="48">
        <f t="shared" si="240"/>
        <v>54</v>
      </c>
      <c r="C1448" s="226"/>
      <c r="D1448" s="226"/>
      <c r="E1448" s="226"/>
      <c r="F1448" s="227"/>
      <c r="G1448" s="227"/>
      <c r="H1448" s="389" t="s">
        <v>488</v>
      </c>
      <c r="I1448" s="224"/>
      <c r="J1448" s="224"/>
      <c r="K1448" s="224">
        <f t="shared" si="241"/>
        <v>0</v>
      </c>
      <c r="L1448" s="224"/>
      <c r="M1448" s="224">
        <v>3600000</v>
      </c>
      <c r="N1448" s="224">
        <v>15000</v>
      </c>
      <c r="O1448" s="224">
        <f t="shared" si="242"/>
        <v>3615000</v>
      </c>
      <c r="P1448" s="228"/>
      <c r="Q1448" s="229">
        <f t="shared" si="249"/>
        <v>3600000</v>
      </c>
      <c r="R1448" s="229">
        <f t="shared" si="250"/>
        <v>15000</v>
      </c>
      <c r="S1448" s="229">
        <f t="shared" si="251"/>
        <v>3615000</v>
      </c>
    </row>
    <row r="1449" spans="2:19" ht="15" x14ac:dyDescent="0.2">
      <c r="B1449" s="48">
        <f t="shared" si="240"/>
        <v>55</v>
      </c>
      <c r="C1449" s="230">
        <v>5</v>
      </c>
      <c r="D1449" s="470" t="s">
        <v>403</v>
      </c>
      <c r="E1449" s="471"/>
      <c r="F1449" s="471"/>
      <c r="G1449" s="471"/>
      <c r="H1449" s="471"/>
      <c r="I1449" s="231">
        <f>I1455+I1450</f>
        <v>675650</v>
      </c>
      <c r="J1449" s="231">
        <f>J1455+J1450</f>
        <v>0</v>
      </c>
      <c r="K1449" s="231">
        <f t="shared" si="241"/>
        <v>675650</v>
      </c>
      <c r="L1449" s="232"/>
      <c r="M1449" s="231">
        <f>M1452</f>
        <v>116000</v>
      </c>
      <c r="N1449" s="231">
        <f>N1452</f>
        <v>0</v>
      </c>
      <c r="O1449" s="231">
        <f t="shared" si="242"/>
        <v>116000</v>
      </c>
      <c r="P1449" s="233"/>
      <c r="Q1449" s="234">
        <f t="shared" si="249"/>
        <v>791650</v>
      </c>
      <c r="R1449" s="234">
        <f t="shared" si="250"/>
        <v>0</v>
      </c>
      <c r="S1449" s="234">
        <f t="shared" si="251"/>
        <v>791650</v>
      </c>
    </row>
    <row r="1450" spans="2:19" x14ac:dyDescent="0.2">
      <c r="B1450" s="48">
        <f t="shared" si="240"/>
        <v>56</v>
      </c>
      <c r="C1450" s="235"/>
      <c r="D1450" s="236"/>
      <c r="E1450" s="236"/>
      <c r="F1450" s="237" t="s">
        <v>75</v>
      </c>
      <c r="G1450" s="238">
        <v>640</v>
      </c>
      <c r="H1450" s="236" t="s">
        <v>130</v>
      </c>
      <c r="I1450" s="239">
        <f>I1451</f>
        <v>543680</v>
      </c>
      <c r="J1450" s="239">
        <f>J1451</f>
        <v>0</v>
      </c>
      <c r="K1450" s="239">
        <f t="shared" si="241"/>
        <v>543680</v>
      </c>
      <c r="L1450" s="5"/>
      <c r="M1450" s="5"/>
      <c r="N1450" s="5"/>
      <c r="O1450" s="5">
        <f t="shared" si="242"/>
        <v>0</v>
      </c>
      <c r="P1450" s="240"/>
      <c r="Q1450" s="241">
        <f t="shared" si="249"/>
        <v>543680</v>
      </c>
      <c r="R1450" s="241">
        <f t="shared" si="250"/>
        <v>0</v>
      </c>
      <c r="S1450" s="241">
        <f t="shared" si="251"/>
        <v>543680</v>
      </c>
    </row>
    <row r="1451" spans="2:19" ht="24" x14ac:dyDescent="0.2">
      <c r="B1451" s="48">
        <f t="shared" si="240"/>
        <v>57</v>
      </c>
      <c r="C1451" s="242"/>
      <c r="D1451" s="243"/>
      <c r="E1451" s="243"/>
      <c r="F1451" s="244"/>
      <c r="G1451" s="245"/>
      <c r="H1451" s="246" t="s">
        <v>521</v>
      </c>
      <c r="I1451" s="247">
        <v>543680</v>
      </c>
      <c r="J1451" s="247"/>
      <c r="K1451" s="247">
        <f t="shared" si="241"/>
        <v>543680</v>
      </c>
      <c r="L1451" s="248"/>
      <c r="M1451" s="248"/>
      <c r="N1451" s="248"/>
      <c r="O1451" s="248">
        <f t="shared" si="242"/>
        <v>0</v>
      </c>
      <c r="P1451" s="249"/>
      <c r="Q1451" s="250">
        <f t="shared" si="249"/>
        <v>543680</v>
      </c>
      <c r="R1451" s="250">
        <f t="shared" si="250"/>
        <v>0</v>
      </c>
      <c r="S1451" s="250">
        <f t="shared" si="251"/>
        <v>543680</v>
      </c>
    </row>
    <row r="1452" spans="2:19" x14ac:dyDescent="0.2">
      <c r="B1452" s="48">
        <f t="shared" si="240"/>
        <v>58</v>
      </c>
      <c r="C1452" s="235"/>
      <c r="D1452" s="236"/>
      <c r="E1452" s="236"/>
      <c r="F1452" s="237" t="s">
        <v>75</v>
      </c>
      <c r="G1452" s="238">
        <v>720</v>
      </c>
      <c r="H1452" s="236" t="s">
        <v>3</v>
      </c>
      <c r="I1452" s="239"/>
      <c r="J1452" s="239"/>
      <c r="K1452" s="239">
        <f t="shared" si="241"/>
        <v>0</v>
      </c>
      <c r="L1452" s="5"/>
      <c r="M1452" s="239">
        <f>M1453</f>
        <v>116000</v>
      </c>
      <c r="N1452" s="239">
        <f>N1453</f>
        <v>0</v>
      </c>
      <c r="O1452" s="239">
        <f t="shared" si="242"/>
        <v>116000</v>
      </c>
      <c r="P1452" s="240"/>
      <c r="Q1452" s="241">
        <f t="shared" si="249"/>
        <v>116000</v>
      </c>
      <c r="R1452" s="241">
        <f t="shared" si="250"/>
        <v>0</v>
      </c>
      <c r="S1452" s="241">
        <f t="shared" si="251"/>
        <v>116000</v>
      </c>
    </row>
    <row r="1453" spans="2:19" x14ac:dyDescent="0.2">
      <c r="B1453" s="48">
        <f t="shared" si="240"/>
        <v>59</v>
      </c>
      <c r="C1453" s="235"/>
      <c r="D1453" s="236"/>
      <c r="E1453" s="236"/>
      <c r="F1453" s="237"/>
      <c r="G1453" s="238"/>
      <c r="H1453" s="251" t="s">
        <v>584</v>
      </c>
      <c r="I1453" s="252"/>
      <c r="J1453" s="252"/>
      <c r="K1453" s="252">
        <f t="shared" si="241"/>
        <v>0</v>
      </c>
      <c r="L1453" s="252"/>
      <c r="M1453" s="252">
        <v>116000</v>
      </c>
      <c r="N1453" s="252"/>
      <c r="O1453" s="252">
        <f t="shared" si="242"/>
        <v>116000</v>
      </c>
      <c r="P1453" s="253"/>
      <c r="Q1453" s="254">
        <f t="shared" si="249"/>
        <v>116000</v>
      </c>
      <c r="R1453" s="254">
        <f t="shared" si="250"/>
        <v>0</v>
      </c>
      <c r="S1453" s="254">
        <f t="shared" si="251"/>
        <v>116000</v>
      </c>
    </row>
    <row r="1454" spans="2:19" x14ac:dyDescent="0.2">
      <c r="B1454" s="48">
        <f t="shared" si="240"/>
        <v>60</v>
      </c>
      <c r="C1454" s="235"/>
      <c r="D1454" s="236"/>
      <c r="E1454" s="236"/>
      <c r="F1454" s="237"/>
      <c r="G1454" s="238"/>
      <c r="H1454" s="251"/>
      <c r="I1454" s="252"/>
      <c r="J1454" s="252"/>
      <c r="K1454" s="252"/>
      <c r="L1454" s="252"/>
      <c r="M1454" s="252"/>
      <c r="N1454" s="252"/>
      <c r="O1454" s="252">
        <f t="shared" si="242"/>
        <v>0</v>
      </c>
      <c r="P1454" s="253"/>
      <c r="Q1454" s="255"/>
      <c r="R1454" s="255"/>
      <c r="S1454" s="255"/>
    </row>
    <row r="1455" spans="2:19" x14ac:dyDescent="0.2">
      <c r="B1455" s="48">
        <f t="shared" si="240"/>
        <v>61</v>
      </c>
      <c r="C1455" s="256"/>
      <c r="D1455" s="257"/>
      <c r="E1455" s="257"/>
      <c r="F1455" s="258" t="s">
        <v>75</v>
      </c>
      <c r="G1455" s="259">
        <v>600</v>
      </c>
      <c r="H1455" s="260" t="s">
        <v>476</v>
      </c>
      <c r="I1455" s="261">
        <f>I1456+I1457+I1458</f>
        <v>131970</v>
      </c>
      <c r="J1455" s="261">
        <f>SUM(J1456:J1459)</f>
        <v>0</v>
      </c>
      <c r="K1455" s="261">
        <f t="shared" si="241"/>
        <v>131970</v>
      </c>
      <c r="L1455" s="262"/>
      <c r="M1455" s="262"/>
      <c r="N1455" s="262"/>
      <c r="O1455" s="262">
        <f t="shared" si="242"/>
        <v>0</v>
      </c>
      <c r="P1455" s="263"/>
      <c r="Q1455" s="264">
        <f t="shared" ref="Q1455:S1458" si="252">I1455+M1455</f>
        <v>131970</v>
      </c>
      <c r="R1455" s="264">
        <f t="shared" si="252"/>
        <v>0</v>
      </c>
      <c r="S1455" s="264">
        <f t="shared" si="252"/>
        <v>131970</v>
      </c>
    </row>
    <row r="1456" spans="2:19" x14ac:dyDescent="0.2">
      <c r="B1456" s="48">
        <f>B1455+1</f>
        <v>62</v>
      </c>
      <c r="C1456" s="265"/>
      <c r="D1456" s="266"/>
      <c r="E1456" s="266"/>
      <c r="F1456" s="237"/>
      <c r="G1456" s="4">
        <v>610</v>
      </c>
      <c r="H1456" s="11" t="s">
        <v>132</v>
      </c>
      <c r="I1456" s="5">
        <v>73052</v>
      </c>
      <c r="J1456" s="5">
        <v>-200</v>
      </c>
      <c r="K1456" s="5">
        <f t="shared" si="241"/>
        <v>72852</v>
      </c>
      <c r="L1456" s="5"/>
      <c r="M1456" s="5"/>
      <c r="N1456" s="5"/>
      <c r="O1456" s="5">
        <f t="shared" si="242"/>
        <v>0</v>
      </c>
      <c r="P1456" s="240"/>
      <c r="Q1456" s="254">
        <f t="shared" si="252"/>
        <v>73052</v>
      </c>
      <c r="R1456" s="254">
        <f t="shared" si="252"/>
        <v>-200</v>
      </c>
      <c r="S1456" s="254">
        <f t="shared" si="252"/>
        <v>72852</v>
      </c>
    </row>
    <row r="1457" spans="2:19" x14ac:dyDescent="0.2">
      <c r="B1457" s="48">
        <f>B1456+1</f>
        <v>63</v>
      </c>
      <c r="C1457" s="265"/>
      <c r="D1457" s="266"/>
      <c r="E1457" s="266"/>
      <c r="F1457" s="237"/>
      <c r="G1457" s="4">
        <v>620</v>
      </c>
      <c r="H1457" s="3" t="s">
        <v>125</v>
      </c>
      <c r="I1457" s="5">
        <v>25568</v>
      </c>
      <c r="J1457" s="5"/>
      <c r="K1457" s="5">
        <f t="shared" si="241"/>
        <v>25568</v>
      </c>
      <c r="L1457" s="5"/>
      <c r="M1457" s="5"/>
      <c r="N1457" s="5"/>
      <c r="O1457" s="5">
        <f t="shared" si="242"/>
        <v>0</v>
      </c>
      <c r="P1457" s="240"/>
      <c r="Q1457" s="254">
        <f t="shared" si="252"/>
        <v>25568</v>
      </c>
      <c r="R1457" s="254">
        <f t="shared" si="252"/>
        <v>0</v>
      </c>
      <c r="S1457" s="254">
        <f t="shared" si="252"/>
        <v>25568</v>
      </c>
    </row>
    <row r="1458" spans="2:19" x14ac:dyDescent="0.2">
      <c r="B1458" s="48">
        <f>B1457+1</f>
        <v>64</v>
      </c>
      <c r="C1458" s="267"/>
      <c r="D1458" s="268"/>
      <c r="E1458" s="268"/>
      <c r="F1458" s="269"/>
      <c r="G1458" s="270">
        <v>630</v>
      </c>
      <c r="H1458" s="271" t="s">
        <v>122</v>
      </c>
      <c r="I1458" s="272">
        <v>33350</v>
      </c>
      <c r="J1458" s="272"/>
      <c r="K1458" s="272">
        <f t="shared" si="241"/>
        <v>33350</v>
      </c>
      <c r="L1458" s="272"/>
      <c r="M1458" s="272"/>
      <c r="N1458" s="272"/>
      <c r="O1458" s="272">
        <f t="shared" si="242"/>
        <v>0</v>
      </c>
      <c r="P1458" s="273"/>
      <c r="Q1458" s="274">
        <f t="shared" si="252"/>
        <v>33350</v>
      </c>
      <c r="R1458" s="274">
        <f t="shared" si="252"/>
        <v>0</v>
      </c>
      <c r="S1458" s="274">
        <f t="shared" si="252"/>
        <v>33350</v>
      </c>
    </row>
    <row r="1459" spans="2:19" x14ac:dyDescent="0.2">
      <c r="B1459" s="48">
        <f>B1458+1</f>
        <v>65</v>
      </c>
      <c r="C1459" s="275"/>
      <c r="D1459" s="276"/>
      <c r="E1459" s="276"/>
      <c r="F1459" s="277"/>
      <c r="G1459" s="278">
        <v>640</v>
      </c>
      <c r="H1459" s="279" t="s">
        <v>130</v>
      </c>
      <c r="I1459" s="280">
        <v>0</v>
      </c>
      <c r="J1459" s="280">
        <v>200</v>
      </c>
      <c r="K1459" s="280">
        <f t="shared" ref="K1459" si="253">I1459+J1459</f>
        <v>200</v>
      </c>
      <c r="L1459" s="280"/>
      <c r="M1459" s="280"/>
      <c r="N1459" s="280"/>
      <c r="O1459" s="280">
        <f t="shared" ref="O1459" si="254">M1459+N1459</f>
        <v>0</v>
      </c>
      <c r="P1459" s="281"/>
      <c r="Q1459" s="282">
        <f t="shared" ref="Q1459" si="255">I1459+M1459</f>
        <v>0</v>
      </c>
      <c r="R1459" s="282">
        <f t="shared" ref="R1459" si="256">J1459+N1459</f>
        <v>200</v>
      </c>
      <c r="S1459" s="282">
        <f t="shared" ref="S1459" si="257">K1459+O1459</f>
        <v>200</v>
      </c>
    </row>
    <row r="1460" spans="2:19" x14ac:dyDescent="0.2">
      <c r="B1460" s="1"/>
      <c r="F1460" s="1"/>
      <c r="G1460" s="1"/>
      <c r="I1460" s="1"/>
      <c r="J1460" s="1"/>
      <c r="K1460" s="1"/>
      <c r="L1460" s="1"/>
      <c r="M1460" s="1"/>
      <c r="N1460" s="1"/>
      <c r="O1460" s="1"/>
      <c r="P1460" s="1"/>
      <c r="Q1460" s="1"/>
    </row>
    <row r="1461" spans="2:19" x14ac:dyDescent="0.2">
      <c r="B1461" s="1"/>
      <c r="F1461" s="1"/>
      <c r="G1461" s="1"/>
      <c r="I1461" s="1"/>
      <c r="J1461" s="1"/>
      <c r="K1461" s="1"/>
      <c r="L1461" s="1"/>
      <c r="M1461" s="1"/>
      <c r="N1461" s="1"/>
      <c r="O1461" s="1"/>
      <c r="P1461" s="1"/>
      <c r="Q1461" s="1"/>
    </row>
    <row r="1462" spans="2:19" ht="27.75" x14ac:dyDescent="0.4">
      <c r="B1462" s="429" t="s">
        <v>22</v>
      </c>
      <c r="C1462" s="430"/>
      <c r="D1462" s="430"/>
      <c r="E1462" s="430"/>
      <c r="F1462" s="430"/>
      <c r="G1462" s="430"/>
      <c r="H1462" s="430"/>
      <c r="I1462" s="430"/>
      <c r="J1462" s="430"/>
      <c r="K1462" s="430"/>
      <c r="L1462" s="430"/>
      <c r="M1462" s="430"/>
      <c r="N1462" s="430"/>
      <c r="O1462" s="430"/>
      <c r="P1462" s="430"/>
      <c r="Q1462" s="430"/>
    </row>
    <row r="1463" spans="2:19" ht="12.75" customHeight="1" x14ac:dyDescent="0.2">
      <c r="B1463" s="459" t="s">
        <v>422</v>
      </c>
      <c r="C1463" s="459"/>
      <c r="D1463" s="459"/>
      <c r="E1463" s="459"/>
      <c r="F1463" s="459"/>
      <c r="G1463" s="459"/>
      <c r="H1463" s="459"/>
      <c r="I1463" s="459"/>
      <c r="J1463" s="459"/>
      <c r="K1463" s="459"/>
      <c r="L1463" s="459"/>
      <c r="M1463" s="459"/>
      <c r="N1463" s="459"/>
      <c r="O1463" s="459"/>
      <c r="P1463" s="390"/>
      <c r="Q1463" s="408" t="s">
        <v>595</v>
      </c>
      <c r="R1463" s="408" t="s">
        <v>591</v>
      </c>
      <c r="S1463" s="408" t="s">
        <v>566</v>
      </c>
    </row>
    <row r="1464" spans="2:19" ht="12.75" customHeight="1" x14ac:dyDescent="0.2">
      <c r="B1464" s="458"/>
      <c r="C1464" s="437" t="s">
        <v>115</v>
      </c>
      <c r="D1464" s="437" t="s">
        <v>116</v>
      </c>
      <c r="E1464" s="452"/>
      <c r="F1464" s="437" t="s">
        <v>117</v>
      </c>
      <c r="G1464" s="443" t="s">
        <v>118</v>
      </c>
      <c r="H1464" s="449" t="s">
        <v>119</v>
      </c>
      <c r="I1464" s="408" t="s">
        <v>593</v>
      </c>
      <c r="J1464" s="408" t="s">
        <v>591</v>
      </c>
      <c r="K1464" s="408" t="s">
        <v>566</v>
      </c>
      <c r="L1464" s="391"/>
      <c r="M1464" s="408" t="s">
        <v>594</v>
      </c>
      <c r="N1464" s="408" t="s">
        <v>591</v>
      </c>
      <c r="O1464" s="408" t="s">
        <v>566</v>
      </c>
      <c r="P1464" s="391"/>
      <c r="Q1464" s="408"/>
      <c r="R1464" s="408"/>
      <c r="S1464" s="408"/>
    </row>
    <row r="1465" spans="2:19" x14ac:dyDescent="0.2">
      <c r="B1465" s="458"/>
      <c r="C1465" s="437"/>
      <c r="D1465" s="437"/>
      <c r="E1465" s="452"/>
      <c r="F1465" s="437"/>
      <c r="G1465" s="443"/>
      <c r="H1465" s="449"/>
      <c r="I1465" s="408"/>
      <c r="J1465" s="408"/>
      <c r="K1465" s="408"/>
      <c r="L1465" s="391"/>
      <c r="M1465" s="408"/>
      <c r="N1465" s="408"/>
      <c r="O1465" s="408"/>
      <c r="P1465" s="391"/>
      <c r="Q1465" s="408"/>
      <c r="R1465" s="408"/>
      <c r="S1465" s="408"/>
    </row>
    <row r="1466" spans="2:19" x14ac:dyDescent="0.2">
      <c r="B1466" s="458"/>
      <c r="C1466" s="437"/>
      <c r="D1466" s="437"/>
      <c r="E1466" s="452"/>
      <c r="F1466" s="437"/>
      <c r="G1466" s="443"/>
      <c r="H1466" s="449"/>
      <c r="I1466" s="408"/>
      <c r="J1466" s="408"/>
      <c r="K1466" s="408"/>
      <c r="L1466" s="391"/>
      <c r="M1466" s="408"/>
      <c r="N1466" s="408"/>
      <c r="O1466" s="408"/>
      <c r="P1466" s="391"/>
      <c r="Q1466" s="408"/>
      <c r="R1466" s="408"/>
      <c r="S1466" s="408"/>
    </row>
    <row r="1467" spans="2:19" x14ac:dyDescent="0.2">
      <c r="B1467" s="458"/>
      <c r="C1467" s="437"/>
      <c r="D1467" s="437"/>
      <c r="E1467" s="452"/>
      <c r="F1467" s="437"/>
      <c r="G1467" s="443"/>
      <c r="H1467" s="449"/>
      <c r="I1467" s="408"/>
      <c r="J1467" s="408"/>
      <c r="K1467" s="408"/>
      <c r="L1467" s="391"/>
      <c r="M1467" s="408"/>
      <c r="N1467" s="408"/>
      <c r="O1467" s="408"/>
      <c r="P1467" s="391"/>
      <c r="Q1467" s="408"/>
      <c r="R1467" s="408"/>
      <c r="S1467" s="408"/>
    </row>
    <row r="1468" spans="2:19" ht="15.75" x14ac:dyDescent="0.2">
      <c r="B1468" s="48">
        <v>1</v>
      </c>
      <c r="C1468" s="453" t="s">
        <v>22</v>
      </c>
      <c r="D1468" s="454"/>
      <c r="E1468" s="454"/>
      <c r="F1468" s="454"/>
      <c r="G1468" s="454"/>
      <c r="H1468" s="454"/>
      <c r="I1468" s="49">
        <f>I1541+I1534+I1531+I1517+I1500+I1469</f>
        <v>5693545</v>
      </c>
      <c r="J1468" s="49">
        <f>J1541+J1534+J1531+J1517+J1500+J1469</f>
        <v>-32000</v>
      </c>
      <c r="K1468" s="49">
        <f>I1468+J1468</f>
        <v>5661545</v>
      </c>
      <c r="L1468" s="394"/>
      <c r="M1468" s="49">
        <f>M1541+M1534+M1531+M1517+M1500+M1469</f>
        <v>842500</v>
      </c>
      <c r="N1468" s="49">
        <f>N1541+N1534+N1531+N1517+N1500+N1469</f>
        <v>689700</v>
      </c>
      <c r="O1468" s="49">
        <f>M1468+N1468</f>
        <v>1532200</v>
      </c>
      <c r="P1468" s="392"/>
      <c r="Q1468" s="50">
        <f t="shared" ref="Q1468:Q1499" si="258">I1468+M1468</f>
        <v>6536045</v>
      </c>
      <c r="R1468" s="50">
        <f t="shared" ref="R1468:R1499" si="259">J1468+N1468</f>
        <v>657700</v>
      </c>
      <c r="S1468" s="50">
        <f t="shared" ref="S1468:S1499" si="260">K1468+O1468</f>
        <v>7193745</v>
      </c>
    </row>
    <row r="1469" spans="2:19" ht="15" x14ac:dyDescent="0.2">
      <c r="B1469" s="48">
        <f t="shared" ref="B1469:B1500" si="261">B1468+1</f>
        <v>2</v>
      </c>
      <c r="C1469" s="51">
        <v>1</v>
      </c>
      <c r="D1469" s="435" t="s">
        <v>194</v>
      </c>
      <c r="E1469" s="436"/>
      <c r="F1469" s="436"/>
      <c r="G1469" s="436"/>
      <c r="H1469" s="436"/>
      <c r="I1469" s="52">
        <f>I1478+I1470</f>
        <v>1494380</v>
      </c>
      <c r="J1469" s="52">
        <f>J1478+J1470</f>
        <v>0</v>
      </c>
      <c r="K1469" s="52">
        <f t="shared" ref="K1469:K1538" si="262">I1469+J1469</f>
        <v>1494380</v>
      </c>
      <c r="L1469" s="53"/>
      <c r="M1469" s="52">
        <f>M1472+M1478</f>
        <v>550000</v>
      </c>
      <c r="N1469" s="52">
        <f>N1472+N1478</f>
        <v>0</v>
      </c>
      <c r="O1469" s="52">
        <f t="shared" ref="O1469:O1538" si="263">M1469+N1469</f>
        <v>550000</v>
      </c>
      <c r="P1469" s="54"/>
      <c r="Q1469" s="72">
        <f t="shared" si="258"/>
        <v>2044380</v>
      </c>
      <c r="R1469" s="72">
        <f t="shared" si="259"/>
        <v>0</v>
      </c>
      <c r="S1469" s="72">
        <f t="shared" si="260"/>
        <v>2044380</v>
      </c>
    </row>
    <row r="1470" spans="2:19" x14ac:dyDescent="0.2">
      <c r="B1470" s="48">
        <f t="shared" si="261"/>
        <v>3</v>
      </c>
      <c r="C1470" s="9"/>
      <c r="D1470" s="9"/>
      <c r="E1470" s="9"/>
      <c r="F1470" s="61" t="s">
        <v>193</v>
      </c>
      <c r="G1470" s="8">
        <v>630</v>
      </c>
      <c r="H1470" s="9" t="s">
        <v>122</v>
      </c>
      <c r="I1470" s="62">
        <f>I1471</f>
        <v>500</v>
      </c>
      <c r="J1470" s="62">
        <f>J1471</f>
        <v>0</v>
      </c>
      <c r="K1470" s="62">
        <f t="shared" si="262"/>
        <v>500</v>
      </c>
      <c r="L1470" s="62"/>
      <c r="M1470" s="62"/>
      <c r="N1470" s="62"/>
      <c r="O1470" s="62">
        <f t="shared" si="263"/>
        <v>0</v>
      </c>
      <c r="P1470" s="63"/>
      <c r="Q1470" s="64">
        <f t="shared" si="258"/>
        <v>500</v>
      </c>
      <c r="R1470" s="64">
        <f t="shared" si="259"/>
        <v>0</v>
      </c>
      <c r="S1470" s="64">
        <f t="shared" si="260"/>
        <v>500</v>
      </c>
    </row>
    <row r="1471" spans="2:19" x14ac:dyDescent="0.2">
      <c r="B1471" s="48">
        <f t="shared" si="261"/>
        <v>4</v>
      </c>
      <c r="C1471" s="11"/>
      <c r="D1471" s="11"/>
      <c r="E1471" s="11"/>
      <c r="F1471" s="65"/>
      <c r="G1471" s="10">
        <v>637</v>
      </c>
      <c r="H1471" s="11" t="s">
        <v>123</v>
      </c>
      <c r="I1471" s="66">
        <v>500</v>
      </c>
      <c r="J1471" s="66"/>
      <c r="K1471" s="66">
        <f t="shared" si="262"/>
        <v>500</v>
      </c>
      <c r="L1471" s="66"/>
      <c r="M1471" s="66"/>
      <c r="N1471" s="66"/>
      <c r="O1471" s="66">
        <f t="shared" si="263"/>
        <v>0</v>
      </c>
      <c r="P1471" s="67"/>
      <c r="Q1471" s="68">
        <f t="shared" si="258"/>
        <v>500</v>
      </c>
      <c r="R1471" s="68">
        <f t="shared" si="259"/>
        <v>0</v>
      </c>
      <c r="S1471" s="68">
        <f t="shared" si="260"/>
        <v>500</v>
      </c>
    </row>
    <row r="1472" spans="2:19" x14ac:dyDescent="0.2">
      <c r="B1472" s="48">
        <f t="shared" si="261"/>
        <v>5</v>
      </c>
      <c r="C1472" s="9"/>
      <c r="D1472" s="9"/>
      <c r="E1472" s="9"/>
      <c r="F1472" s="61" t="s">
        <v>193</v>
      </c>
      <c r="G1472" s="8">
        <v>710</v>
      </c>
      <c r="H1472" s="9" t="s">
        <v>176</v>
      </c>
      <c r="I1472" s="62"/>
      <c r="J1472" s="62"/>
      <c r="K1472" s="62">
        <f t="shared" si="262"/>
        <v>0</v>
      </c>
      <c r="L1472" s="62"/>
      <c r="M1472" s="62">
        <f>M1473+M1475</f>
        <v>550000</v>
      </c>
      <c r="N1472" s="62">
        <f>N1473+N1475</f>
        <v>0</v>
      </c>
      <c r="O1472" s="62">
        <f t="shared" si="263"/>
        <v>550000</v>
      </c>
      <c r="P1472" s="63"/>
      <c r="Q1472" s="64">
        <f t="shared" si="258"/>
        <v>550000</v>
      </c>
      <c r="R1472" s="64">
        <f t="shared" si="259"/>
        <v>0</v>
      </c>
      <c r="S1472" s="64">
        <f t="shared" si="260"/>
        <v>550000</v>
      </c>
    </row>
    <row r="1473" spans="2:19" x14ac:dyDescent="0.2">
      <c r="B1473" s="48">
        <f>B1472+1</f>
        <v>6</v>
      </c>
      <c r="C1473" s="11"/>
      <c r="D1473" s="11"/>
      <c r="E1473" s="11"/>
      <c r="F1473" s="65"/>
      <c r="G1473" s="10">
        <v>716</v>
      </c>
      <c r="H1473" s="11" t="s">
        <v>216</v>
      </c>
      <c r="I1473" s="66"/>
      <c r="J1473" s="66"/>
      <c r="K1473" s="66">
        <f t="shared" si="262"/>
        <v>0</v>
      </c>
      <c r="L1473" s="66"/>
      <c r="M1473" s="66">
        <f>SUM(M1474:M1474)</f>
        <v>45000</v>
      </c>
      <c r="N1473" s="66">
        <f>SUM(N1474:N1474)</f>
        <v>0</v>
      </c>
      <c r="O1473" s="66">
        <f t="shared" si="263"/>
        <v>45000</v>
      </c>
      <c r="P1473" s="67"/>
      <c r="Q1473" s="68">
        <f t="shared" si="258"/>
        <v>45000</v>
      </c>
      <c r="R1473" s="68">
        <f t="shared" si="259"/>
        <v>0</v>
      </c>
      <c r="S1473" s="68">
        <f t="shared" si="260"/>
        <v>45000</v>
      </c>
    </row>
    <row r="1474" spans="2:19" x14ac:dyDescent="0.2">
      <c r="B1474" s="48">
        <f t="shared" si="261"/>
        <v>7</v>
      </c>
      <c r="C1474" s="81"/>
      <c r="D1474" s="81"/>
      <c r="E1474" s="81"/>
      <c r="F1474" s="12"/>
      <c r="G1474" s="12"/>
      <c r="H1474" s="13" t="s">
        <v>464</v>
      </c>
      <c r="I1474" s="83"/>
      <c r="J1474" s="83"/>
      <c r="K1474" s="83">
        <f t="shared" si="262"/>
        <v>0</v>
      </c>
      <c r="L1474" s="83"/>
      <c r="M1474" s="83">
        <v>45000</v>
      </c>
      <c r="N1474" s="83"/>
      <c r="O1474" s="83">
        <f t="shared" si="263"/>
        <v>45000</v>
      </c>
      <c r="P1474" s="84"/>
      <c r="Q1474" s="85">
        <f t="shared" si="258"/>
        <v>45000</v>
      </c>
      <c r="R1474" s="85">
        <f t="shared" si="259"/>
        <v>0</v>
      </c>
      <c r="S1474" s="85">
        <f t="shared" si="260"/>
        <v>45000</v>
      </c>
    </row>
    <row r="1475" spans="2:19" x14ac:dyDescent="0.2">
      <c r="B1475" s="48">
        <f t="shared" si="261"/>
        <v>8</v>
      </c>
      <c r="C1475" s="11"/>
      <c r="D1475" s="11"/>
      <c r="E1475" s="11"/>
      <c r="F1475" s="65"/>
      <c r="G1475" s="10">
        <v>717</v>
      </c>
      <c r="H1475" s="11" t="s">
        <v>183</v>
      </c>
      <c r="I1475" s="66"/>
      <c r="J1475" s="66"/>
      <c r="K1475" s="66">
        <f t="shared" si="262"/>
        <v>0</v>
      </c>
      <c r="L1475" s="66"/>
      <c r="M1475" s="66">
        <f>SUM(M1476:M1477)</f>
        <v>505000</v>
      </c>
      <c r="N1475" s="66">
        <f>SUM(N1476:N1477)</f>
        <v>0</v>
      </c>
      <c r="O1475" s="66">
        <f t="shared" si="263"/>
        <v>505000</v>
      </c>
      <c r="P1475" s="67"/>
      <c r="Q1475" s="68">
        <f t="shared" si="258"/>
        <v>505000</v>
      </c>
      <c r="R1475" s="68">
        <f t="shared" si="259"/>
        <v>0</v>
      </c>
      <c r="S1475" s="68">
        <f t="shared" si="260"/>
        <v>505000</v>
      </c>
    </row>
    <row r="1476" spans="2:19" x14ac:dyDescent="0.2">
      <c r="B1476" s="48">
        <f t="shared" si="261"/>
        <v>9</v>
      </c>
      <c r="C1476" s="81"/>
      <c r="D1476" s="81"/>
      <c r="E1476" s="81"/>
      <c r="F1476" s="12"/>
      <c r="G1476" s="12"/>
      <c r="H1476" s="13" t="s">
        <v>446</v>
      </c>
      <c r="I1476" s="83"/>
      <c r="J1476" s="83"/>
      <c r="K1476" s="83">
        <f t="shared" si="262"/>
        <v>0</v>
      </c>
      <c r="L1476" s="83"/>
      <c r="M1476" s="83">
        <v>105000</v>
      </c>
      <c r="N1476" s="83"/>
      <c r="O1476" s="83">
        <f t="shared" si="263"/>
        <v>105000</v>
      </c>
      <c r="P1476" s="84"/>
      <c r="Q1476" s="85">
        <f t="shared" si="258"/>
        <v>105000</v>
      </c>
      <c r="R1476" s="85">
        <f t="shared" si="259"/>
        <v>0</v>
      </c>
      <c r="S1476" s="85">
        <f t="shared" si="260"/>
        <v>105000</v>
      </c>
    </row>
    <row r="1477" spans="2:19" x14ac:dyDescent="0.2">
      <c r="B1477" s="48">
        <f t="shared" si="261"/>
        <v>10</v>
      </c>
      <c r="C1477" s="81"/>
      <c r="D1477" s="81"/>
      <c r="E1477" s="81"/>
      <c r="F1477" s="12"/>
      <c r="G1477" s="12"/>
      <c r="H1477" s="13" t="s">
        <v>465</v>
      </c>
      <c r="I1477" s="83"/>
      <c r="J1477" s="83"/>
      <c r="K1477" s="83">
        <f t="shared" si="262"/>
        <v>0</v>
      </c>
      <c r="L1477" s="83"/>
      <c r="M1477" s="83">
        <v>400000</v>
      </c>
      <c r="N1477" s="83"/>
      <c r="O1477" s="83">
        <f t="shared" si="263"/>
        <v>400000</v>
      </c>
      <c r="P1477" s="84"/>
      <c r="Q1477" s="85">
        <f t="shared" si="258"/>
        <v>400000</v>
      </c>
      <c r="R1477" s="85">
        <f t="shared" si="259"/>
        <v>0</v>
      </c>
      <c r="S1477" s="85">
        <f t="shared" si="260"/>
        <v>400000</v>
      </c>
    </row>
    <row r="1478" spans="2:19" ht="15" x14ac:dyDescent="0.25">
      <c r="B1478" s="48">
        <f t="shared" si="261"/>
        <v>11</v>
      </c>
      <c r="C1478" s="166"/>
      <c r="D1478" s="166"/>
      <c r="E1478" s="166">
        <v>2</v>
      </c>
      <c r="F1478" s="167"/>
      <c r="G1478" s="167"/>
      <c r="H1478" s="166" t="s">
        <v>11</v>
      </c>
      <c r="I1478" s="168">
        <f>I1479+I1490</f>
        <v>1493880</v>
      </c>
      <c r="J1478" s="168">
        <f>J1479+J1490</f>
        <v>0</v>
      </c>
      <c r="K1478" s="168">
        <f t="shared" si="262"/>
        <v>1493880</v>
      </c>
      <c r="L1478" s="58"/>
      <c r="M1478" s="168"/>
      <c r="N1478" s="168"/>
      <c r="O1478" s="168">
        <f t="shared" si="263"/>
        <v>0</v>
      </c>
      <c r="P1478" s="59"/>
      <c r="Q1478" s="169">
        <f t="shared" si="258"/>
        <v>1493880</v>
      </c>
      <c r="R1478" s="169">
        <f t="shared" si="259"/>
        <v>0</v>
      </c>
      <c r="S1478" s="169">
        <f t="shared" si="260"/>
        <v>1493880</v>
      </c>
    </row>
    <row r="1479" spans="2:19" x14ac:dyDescent="0.2">
      <c r="B1479" s="48">
        <f t="shared" si="261"/>
        <v>12</v>
      </c>
      <c r="C1479" s="184"/>
      <c r="D1479" s="184"/>
      <c r="E1479" s="184"/>
      <c r="F1479" s="185"/>
      <c r="G1479" s="185"/>
      <c r="H1479" s="184" t="s">
        <v>342</v>
      </c>
      <c r="I1479" s="186">
        <f>I1480+I1481+I1482+I1489</f>
        <v>339775</v>
      </c>
      <c r="J1479" s="186">
        <f>J1480+J1481+J1482+J1489</f>
        <v>0</v>
      </c>
      <c r="K1479" s="186">
        <f t="shared" si="262"/>
        <v>339775</v>
      </c>
      <c r="L1479" s="62"/>
      <c r="M1479" s="186"/>
      <c r="N1479" s="186"/>
      <c r="O1479" s="186">
        <f t="shared" si="263"/>
        <v>0</v>
      </c>
      <c r="P1479" s="63"/>
      <c r="Q1479" s="187">
        <f t="shared" si="258"/>
        <v>339775</v>
      </c>
      <c r="R1479" s="187">
        <f t="shared" si="259"/>
        <v>0</v>
      </c>
      <c r="S1479" s="187">
        <f t="shared" si="260"/>
        <v>339775</v>
      </c>
    </row>
    <row r="1480" spans="2:19" x14ac:dyDescent="0.2">
      <c r="B1480" s="48">
        <f t="shared" si="261"/>
        <v>13</v>
      </c>
      <c r="C1480" s="9"/>
      <c r="D1480" s="9"/>
      <c r="E1480" s="9"/>
      <c r="F1480" s="61" t="s">
        <v>232</v>
      </c>
      <c r="G1480" s="8">
        <v>610</v>
      </c>
      <c r="H1480" s="9" t="s">
        <v>132</v>
      </c>
      <c r="I1480" s="62">
        <f>35100+81700</f>
        <v>116800</v>
      </c>
      <c r="J1480" s="62"/>
      <c r="K1480" s="62">
        <f t="shared" si="262"/>
        <v>116800</v>
      </c>
      <c r="L1480" s="62"/>
      <c r="M1480" s="62"/>
      <c r="N1480" s="62"/>
      <c r="O1480" s="62">
        <f t="shared" si="263"/>
        <v>0</v>
      </c>
      <c r="P1480" s="63"/>
      <c r="Q1480" s="64">
        <f t="shared" si="258"/>
        <v>116800</v>
      </c>
      <c r="R1480" s="64">
        <f t="shared" si="259"/>
        <v>0</v>
      </c>
      <c r="S1480" s="64">
        <f t="shared" si="260"/>
        <v>116800</v>
      </c>
    </row>
    <row r="1481" spans="2:19" x14ac:dyDescent="0.2">
      <c r="B1481" s="48">
        <f t="shared" si="261"/>
        <v>14</v>
      </c>
      <c r="C1481" s="9"/>
      <c r="D1481" s="9"/>
      <c r="E1481" s="9"/>
      <c r="F1481" s="61" t="s">
        <v>232</v>
      </c>
      <c r="G1481" s="8">
        <v>620</v>
      </c>
      <c r="H1481" s="9" t="s">
        <v>125</v>
      </c>
      <c r="I1481" s="62">
        <f>15900+29055</f>
        <v>44955</v>
      </c>
      <c r="J1481" s="62"/>
      <c r="K1481" s="62">
        <f t="shared" si="262"/>
        <v>44955</v>
      </c>
      <c r="L1481" s="62"/>
      <c r="M1481" s="62"/>
      <c r="N1481" s="62"/>
      <c r="O1481" s="62">
        <f t="shared" si="263"/>
        <v>0</v>
      </c>
      <c r="P1481" s="63"/>
      <c r="Q1481" s="64">
        <f t="shared" si="258"/>
        <v>44955</v>
      </c>
      <c r="R1481" s="64">
        <f t="shared" si="259"/>
        <v>0</v>
      </c>
      <c r="S1481" s="64">
        <f t="shared" si="260"/>
        <v>44955</v>
      </c>
    </row>
    <row r="1482" spans="2:19" x14ac:dyDescent="0.2">
      <c r="B1482" s="48">
        <f t="shared" si="261"/>
        <v>15</v>
      </c>
      <c r="C1482" s="9"/>
      <c r="D1482" s="9"/>
      <c r="E1482" s="9"/>
      <c r="F1482" s="61" t="s">
        <v>232</v>
      </c>
      <c r="G1482" s="8">
        <v>630</v>
      </c>
      <c r="H1482" s="9" t="s">
        <v>122</v>
      </c>
      <c r="I1482" s="62">
        <f>I1488+I1487+I1486+I1485+I1484+I1483</f>
        <v>168900</v>
      </c>
      <c r="J1482" s="62">
        <f>J1488+J1487+J1486+J1485+J1484+J1483</f>
        <v>0</v>
      </c>
      <c r="K1482" s="62">
        <f t="shared" si="262"/>
        <v>168900</v>
      </c>
      <c r="L1482" s="62"/>
      <c r="M1482" s="62"/>
      <c r="N1482" s="62"/>
      <c r="O1482" s="62">
        <f t="shared" si="263"/>
        <v>0</v>
      </c>
      <c r="P1482" s="63"/>
      <c r="Q1482" s="64">
        <f t="shared" si="258"/>
        <v>168900</v>
      </c>
      <c r="R1482" s="64">
        <f t="shared" si="259"/>
        <v>0</v>
      </c>
      <c r="S1482" s="64">
        <f t="shared" si="260"/>
        <v>168900</v>
      </c>
    </row>
    <row r="1483" spans="2:19" x14ac:dyDescent="0.2">
      <c r="B1483" s="48">
        <f t="shared" si="261"/>
        <v>16</v>
      </c>
      <c r="C1483" s="11"/>
      <c r="D1483" s="11"/>
      <c r="E1483" s="11"/>
      <c r="F1483" s="65"/>
      <c r="G1483" s="10">
        <v>632</v>
      </c>
      <c r="H1483" s="11" t="s">
        <v>135</v>
      </c>
      <c r="I1483" s="66">
        <v>3500</v>
      </c>
      <c r="J1483" s="66"/>
      <c r="K1483" s="66">
        <f t="shared" si="262"/>
        <v>3500</v>
      </c>
      <c r="L1483" s="66"/>
      <c r="M1483" s="66"/>
      <c r="N1483" s="66"/>
      <c r="O1483" s="66">
        <f t="shared" si="263"/>
        <v>0</v>
      </c>
      <c r="P1483" s="67"/>
      <c r="Q1483" s="68">
        <f t="shared" si="258"/>
        <v>3500</v>
      </c>
      <c r="R1483" s="68">
        <f t="shared" si="259"/>
        <v>0</v>
      </c>
      <c r="S1483" s="68">
        <f t="shared" si="260"/>
        <v>3500</v>
      </c>
    </row>
    <row r="1484" spans="2:19" x14ac:dyDescent="0.2">
      <c r="B1484" s="48">
        <f t="shared" si="261"/>
        <v>17</v>
      </c>
      <c r="C1484" s="11"/>
      <c r="D1484" s="11"/>
      <c r="E1484" s="11"/>
      <c r="F1484" s="65"/>
      <c r="G1484" s="10">
        <v>633</v>
      </c>
      <c r="H1484" s="11" t="s">
        <v>126</v>
      </c>
      <c r="I1484" s="66">
        <v>20000</v>
      </c>
      <c r="J1484" s="66"/>
      <c r="K1484" s="66">
        <f t="shared" si="262"/>
        <v>20000</v>
      </c>
      <c r="L1484" s="66"/>
      <c r="M1484" s="66"/>
      <c r="N1484" s="66"/>
      <c r="O1484" s="66">
        <f t="shared" si="263"/>
        <v>0</v>
      </c>
      <c r="P1484" s="67"/>
      <c r="Q1484" s="68">
        <f t="shared" si="258"/>
        <v>20000</v>
      </c>
      <c r="R1484" s="68">
        <f t="shared" si="259"/>
        <v>0</v>
      </c>
      <c r="S1484" s="68">
        <f t="shared" si="260"/>
        <v>20000</v>
      </c>
    </row>
    <row r="1485" spans="2:19" x14ac:dyDescent="0.2">
      <c r="B1485" s="48">
        <f t="shared" si="261"/>
        <v>18</v>
      </c>
      <c r="C1485" s="11"/>
      <c r="D1485" s="11"/>
      <c r="E1485" s="11"/>
      <c r="F1485" s="65"/>
      <c r="G1485" s="10">
        <v>634</v>
      </c>
      <c r="H1485" s="11" t="s">
        <v>133</v>
      </c>
      <c r="I1485" s="66">
        <f>2500+2500+1390+3000+110+200</f>
        <v>9700</v>
      </c>
      <c r="J1485" s="66"/>
      <c r="K1485" s="66">
        <f t="shared" si="262"/>
        <v>9700</v>
      </c>
      <c r="L1485" s="66"/>
      <c r="M1485" s="66"/>
      <c r="N1485" s="66"/>
      <c r="O1485" s="66">
        <f t="shared" si="263"/>
        <v>0</v>
      </c>
      <c r="P1485" s="67"/>
      <c r="Q1485" s="68">
        <f t="shared" si="258"/>
        <v>9700</v>
      </c>
      <c r="R1485" s="68">
        <f t="shared" si="259"/>
        <v>0</v>
      </c>
      <c r="S1485" s="68">
        <f t="shared" si="260"/>
        <v>9700</v>
      </c>
    </row>
    <row r="1486" spans="2:19" x14ac:dyDescent="0.2">
      <c r="B1486" s="48">
        <f t="shared" si="261"/>
        <v>19</v>
      </c>
      <c r="C1486" s="11"/>
      <c r="D1486" s="11"/>
      <c r="E1486" s="11"/>
      <c r="F1486" s="65"/>
      <c r="G1486" s="10">
        <v>635</v>
      </c>
      <c r="H1486" s="11" t="s">
        <v>134</v>
      </c>
      <c r="I1486" s="66">
        <v>34000</v>
      </c>
      <c r="J1486" s="66"/>
      <c r="K1486" s="66">
        <f t="shared" si="262"/>
        <v>34000</v>
      </c>
      <c r="L1486" s="66"/>
      <c r="M1486" s="66"/>
      <c r="N1486" s="66"/>
      <c r="O1486" s="66">
        <f t="shared" si="263"/>
        <v>0</v>
      </c>
      <c r="P1486" s="67"/>
      <c r="Q1486" s="68">
        <f t="shared" si="258"/>
        <v>34000</v>
      </c>
      <c r="R1486" s="68">
        <f t="shared" si="259"/>
        <v>0</v>
      </c>
      <c r="S1486" s="68">
        <f t="shared" si="260"/>
        <v>34000</v>
      </c>
    </row>
    <row r="1487" spans="2:19" x14ac:dyDescent="0.2">
      <c r="B1487" s="48">
        <f t="shared" si="261"/>
        <v>20</v>
      </c>
      <c r="C1487" s="11"/>
      <c r="D1487" s="11"/>
      <c r="E1487" s="11"/>
      <c r="F1487" s="65"/>
      <c r="G1487" s="10">
        <v>636</v>
      </c>
      <c r="H1487" s="11" t="s">
        <v>127</v>
      </c>
      <c r="I1487" s="66">
        <f>100+3600</f>
        <v>3700</v>
      </c>
      <c r="J1487" s="66"/>
      <c r="K1487" s="66">
        <f t="shared" si="262"/>
        <v>3700</v>
      </c>
      <c r="L1487" s="66"/>
      <c r="M1487" s="66"/>
      <c r="N1487" s="66"/>
      <c r="O1487" s="66">
        <f t="shared" si="263"/>
        <v>0</v>
      </c>
      <c r="P1487" s="67"/>
      <c r="Q1487" s="68">
        <f t="shared" si="258"/>
        <v>3700</v>
      </c>
      <c r="R1487" s="68">
        <f t="shared" si="259"/>
        <v>0</v>
      </c>
      <c r="S1487" s="68">
        <f t="shared" si="260"/>
        <v>3700</v>
      </c>
    </row>
    <row r="1488" spans="2:19" x14ac:dyDescent="0.2">
      <c r="B1488" s="48">
        <f t="shared" si="261"/>
        <v>21</v>
      </c>
      <c r="C1488" s="11"/>
      <c r="D1488" s="11"/>
      <c r="E1488" s="11"/>
      <c r="F1488" s="65"/>
      <c r="G1488" s="10">
        <v>637</v>
      </c>
      <c r="H1488" s="11" t="s">
        <v>123</v>
      </c>
      <c r="I1488" s="66">
        <v>98000</v>
      </c>
      <c r="J1488" s="66"/>
      <c r="K1488" s="66">
        <f t="shared" si="262"/>
        <v>98000</v>
      </c>
      <c r="L1488" s="66"/>
      <c r="M1488" s="66"/>
      <c r="N1488" s="66"/>
      <c r="O1488" s="66">
        <f t="shared" si="263"/>
        <v>0</v>
      </c>
      <c r="P1488" s="67"/>
      <c r="Q1488" s="68">
        <f t="shared" si="258"/>
        <v>98000</v>
      </c>
      <c r="R1488" s="68">
        <f t="shared" si="259"/>
        <v>0</v>
      </c>
      <c r="S1488" s="68">
        <f t="shared" si="260"/>
        <v>98000</v>
      </c>
    </row>
    <row r="1489" spans="2:19" x14ac:dyDescent="0.2">
      <c r="B1489" s="48">
        <f t="shared" si="261"/>
        <v>22</v>
      </c>
      <c r="C1489" s="9"/>
      <c r="D1489" s="9"/>
      <c r="E1489" s="9"/>
      <c r="F1489" s="61" t="s">
        <v>232</v>
      </c>
      <c r="G1489" s="8">
        <v>640</v>
      </c>
      <c r="H1489" s="9" t="s">
        <v>130</v>
      </c>
      <c r="I1489" s="62">
        <f>200+2720+1400+3500+500+800</f>
        <v>9120</v>
      </c>
      <c r="J1489" s="62"/>
      <c r="K1489" s="62">
        <f t="shared" si="262"/>
        <v>9120</v>
      </c>
      <c r="L1489" s="62"/>
      <c r="M1489" s="62"/>
      <c r="N1489" s="62"/>
      <c r="O1489" s="62">
        <f t="shared" si="263"/>
        <v>0</v>
      </c>
      <c r="P1489" s="63"/>
      <c r="Q1489" s="64">
        <f t="shared" si="258"/>
        <v>9120</v>
      </c>
      <c r="R1489" s="64">
        <f t="shared" si="259"/>
        <v>0</v>
      </c>
      <c r="S1489" s="64">
        <f t="shared" si="260"/>
        <v>9120</v>
      </c>
    </row>
    <row r="1490" spans="2:19" x14ac:dyDescent="0.2">
      <c r="B1490" s="48">
        <f t="shared" si="261"/>
        <v>23</v>
      </c>
      <c r="C1490" s="184"/>
      <c r="D1490" s="184"/>
      <c r="E1490" s="184"/>
      <c r="F1490" s="185"/>
      <c r="G1490" s="185"/>
      <c r="H1490" s="184" t="s">
        <v>194</v>
      </c>
      <c r="I1490" s="186">
        <f>I1491+I1492+I1493+I1499</f>
        <v>1154105</v>
      </c>
      <c r="J1490" s="186">
        <f>J1491+J1492+J1493+J1499</f>
        <v>0</v>
      </c>
      <c r="K1490" s="186">
        <f t="shared" si="262"/>
        <v>1154105</v>
      </c>
      <c r="L1490" s="62"/>
      <c r="M1490" s="186"/>
      <c r="N1490" s="186"/>
      <c r="O1490" s="186">
        <f t="shared" si="263"/>
        <v>0</v>
      </c>
      <c r="P1490" s="63"/>
      <c r="Q1490" s="187">
        <f t="shared" si="258"/>
        <v>1154105</v>
      </c>
      <c r="R1490" s="187">
        <f t="shared" si="259"/>
        <v>0</v>
      </c>
      <c r="S1490" s="187">
        <f t="shared" si="260"/>
        <v>1154105</v>
      </c>
    </row>
    <row r="1491" spans="2:19" x14ac:dyDescent="0.2">
      <c r="B1491" s="48">
        <f t="shared" si="261"/>
        <v>24</v>
      </c>
      <c r="C1491" s="9"/>
      <c r="D1491" s="9"/>
      <c r="E1491" s="9"/>
      <c r="F1491" s="61" t="s">
        <v>193</v>
      </c>
      <c r="G1491" s="8">
        <v>610</v>
      </c>
      <c r="H1491" s="9" t="s">
        <v>132</v>
      </c>
      <c r="I1491" s="62">
        <v>210500</v>
      </c>
      <c r="J1491" s="62"/>
      <c r="K1491" s="62">
        <f t="shared" si="262"/>
        <v>210500</v>
      </c>
      <c r="L1491" s="62"/>
      <c r="M1491" s="62"/>
      <c r="N1491" s="62"/>
      <c r="O1491" s="62">
        <f t="shared" si="263"/>
        <v>0</v>
      </c>
      <c r="P1491" s="63"/>
      <c r="Q1491" s="64">
        <f t="shared" si="258"/>
        <v>210500</v>
      </c>
      <c r="R1491" s="64">
        <f t="shared" si="259"/>
        <v>0</v>
      </c>
      <c r="S1491" s="64">
        <f t="shared" si="260"/>
        <v>210500</v>
      </c>
    </row>
    <row r="1492" spans="2:19" x14ac:dyDescent="0.2">
      <c r="B1492" s="48">
        <f t="shared" si="261"/>
        <v>25</v>
      </c>
      <c r="C1492" s="9"/>
      <c r="D1492" s="9"/>
      <c r="E1492" s="9"/>
      <c r="F1492" s="61" t="s">
        <v>193</v>
      </c>
      <c r="G1492" s="8">
        <v>620</v>
      </c>
      <c r="H1492" s="9" t="s">
        <v>125</v>
      </c>
      <c r="I1492" s="62">
        <v>82150</v>
      </c>
      <c r="J1492" s="62"/>
      <c r="K1492" s="62">
        <f t="shared" si="262"/>
        <v>82150</v>
      </c>
      <c r="L1492" s="62"/>
      <c r="M1492" s="62"/>
      <c r="N1492" s="62"/>
      <c r="O1492" s="62">
        <f t="shared" si="263"/>
        <v>0</v>
      </c>
      <c r="P1492" s="63"/>
      <c r="Q1492" s="64">
        <f t="shared" si="258"/>
        <v>82150</v>
      </c>
      <c r="R1492" s="64">
        <f t="shared" si="259"/>
        <v>0</v>
      </c>
      <c r="S1492" s="64">
        <f t="shared" si="260"/>
        <v>82150</v>
      </c>
    </row>
    <row r="1493" spans="2:19" x14ac:dyDescent="0.2">
      <c r="B1493" s="48">
        <f t="shared" si="261"/>
        <v>26</v>
      </c>
      <c r="C1493" s="9"/>
      <c r="D1493" s="9"/>
      <c r="E1493" s="9"/>
      <c r="F1493" s="61"/>
      <c r="G1493" s="8">
        <v>630</v>
      </c>
      <c r="H1493" s="9" t="s">
        <v>122</v>
      </c>
      <c r="I1493" s="62">
        <f>I1498+I1497+I1496+I1495+I1494</f>
        <v>847755</v>
      </c>
      <c r="J1493" s="62">
        <f>J1498+J1497+J1496+J1495+J1494</f>
        <v>0</v>
      </c>
      <c r="K1493" s="62">
        <f t="shared" si="262"/>
        <v>847755</v>
      </c>
      <c r="L1493" s="62"/>
      <c r="M1493" s="62"/>
      <c r="N1493" s="62"/>
      <c r="O1493" s="62">
        <f t="shared" si="263"/>
        <v>0</v>
      </c>
      <c r="P1493" s="63"/>
      <c r="Q1493" s="64">
        <f t="shared" si="258"/>
        <v>847755</v>
      </c>
      <c r="R1493" s="64">
        <f t="shared" si="259"/>
        <v>0</v>
      </c>
      <c r="S1493" s="64">
        <f t="shared" si="260"/>
        <v>847755</v>
      </c>
    </row>
    <row r="1494" spans="2:19" x14ac:dyDescent="0.2">
      <c r="B1494" s="48">
        <f t="shared" si="261"/>
        <v>27</v>
      </c>
      <c r="C1494" s="11"/>
      <c r="D1494" s="11"/>
      <c r="E1494" s="11"/>
      <c r="F1494" s="65"/>
      <c r="G1494" s="10">
        <v>633</v>
      </c>
      <c r="H1494" s="11" t="s">
        <v>126</v>
      </c>
      <c r="I1494" s="66">
        <f>6000+353500+2000+12000-200000</f>
        <v>173500</v>
      </c>
      <c r="J1494" s="66"/>
      <c r="K1494" s="66">
        <f t="shared" si="262"/>
        <v>173500</v>
      </c>
      <c r="L1494" s="66"/>
      <c r="M1494" s="66"/>
      <c r="N1494" s="66"/>
      <c r="O1494" s="66">
        <f t="shared" si="263"/>
        <v>0</v>
      </c>
      <c r="P1494" s="67"/>
      <c r="Q1494" s="68">
        <f t="shared" si="258"/>
        <v>173500</v>
      </c>
      <c r="R1494" s="68">
        <f t="shared" si="259"/>
        <v>0</v>
      </c>
      <c r="S1494" s="68">
        <f t="shared" si="260"/>
        <v>173500</v>
      </c>
    </row>
    <row r="1495" spans="2:19" x14ac:dyDescent="0.2">
      <c r="B1495" s="48">
        <f t="shared" si="261"/>
        <v>28</v>
      </c>
      <c r="C1495" s="11"/>
      <c r="D1495" s="11"/>
      <c r="E1495" s="11"/>
      <c r="F1495" s="65"/>
      <c r="G1495" s="10">
        <v>634</v>
      </c>
      <c r="H1495" s="11" t="s">
        <v>133</v>
      </c>
      <c r="I1495" s="66">
        <f>20000+15000+3000+200</f>
        <v>38200</v>
      </c>
      <c r="J1495" s="66"/>
      <c r="K1495" s="66">
        <f t="shared" si="262"/>
        <v>38200</v>
      </c>
      <c r="L1495" s="66"/>
      <c r="M1495" s="66"/>
      <c r="N1495" s="66"/>
      <c r="O1495" s="66">
        <f t="shared" si="263"/>
        <v>0</v>
      </c>
      <c r="P1495" s="67"/>
      <c r="Q1495" s="68">
        <f t="shared" si="258"/>
        <v>38200</v>
      </c>
      <c r="R1495" s="68">
        <f t="shared" si="259"/>
        <v>0</v>
      </c>
      <c r="S1495" s="68">
        <f t="shared" si="260"/>
        <v>38200</v>
      </c>
    </row>
    <row r="1496" spans="2:19" x14ac:dyDescent="0.2">
      <c r="B1496" s="48">
        <f t="shared" si="261"/>
        <v>29</v>
      </c>
      <c r="C1496" s="11"/>
      <c r="D1496" s="11"/>
      <c r="E1496" s="11"/>
      <c r="F1496" s="65"/>
      <c r="G1496" s="10">
        <v>635</v>
      </c>
      <c r="H1496" s="11" t="s">
        <v>134</v>
      </c>
      <c r="I1496" s="66">
        <f>18000+1152130-280935-260000-50000+20000</f>
        <v>599195</v>
      </c>
      <c r="J1496" s="66"/>
      <c r="K1496" s="66">
        <f t="shared" si="262"/>
        <v>599195</v>
      </c>
      <c r="L1496" s="66"/>
      <c r="M1496" s="66"/>
      <c r="N1496" s="66"/>
      <c r="O1496" s="66">
        <f t="shared" si="263"/>
        <v>0</v>
      </c>
      <c r="P1496" s="67"/>
      <c r="Q1496" s="68">
        <f t="shared" si="258"/>
        <v>599195</v>
      </c>
      <c r="R1496" s="68">
        <f t="shared" si="259"/>
        <v>0</v>
      </c>
      <c r="S1496" s="68">
        <f t="shared" si="260"/>
        <v>599195</v>
      </c>
    </row>
    <row r="1497" spans="2:19" x14ac:dyDescent="0.2">
      <c r="B1497" s="48">
        <f t="shared" si="261"/>
        <v>30</v>
      </c>
      <c r="C1497" s="11"/>
      <c r="D1497" s="11"/>
      <c r="E1497" s="11"/>
      <c r="F1497" s="65"/>
      <c r="G1497" s="10">
        <v>636</v>
      </c>
      <c r="H1497" s="11" t="s">
        <v>127</v>
      </c>
      <c r="I1497" s="66">
        <v>500</v>
      </c>
      <c r="J1497" s="66"/>
      <c r="K1497" s="66">
        <f t="shared" si="262"/>
        <v>500</v>
      </c>
      <c r="L1497" s="66"/>
      <c r="M1497" s="66"/>
      <c r="N1497" s="66"/>
      <c r="O1497" s="66">
        <f t="shared" si="263"/>
        <v>0</v>
      </c>
      <c r="P1497" s="67"/>
      <c r="Q1497" s="68">
        <f t="shared" si="258"/>
        <v>500</v>
      </c>
      <c r="R1497" s="68">
        <f t="shared" si="259"/>
        <v>0</v>
      </c>
      <c r="S1497" s="68">
        <f t="shared" si="260"/>
        <v>500</v>
      </c>
    </row>
    <row r="1498" spans="2:19" x14ac:dyDescent="0.2">
      <c r="B1498" s="48">
        <f t="shared" si="261"/>
        <v>31</v>
      </c>
      <c r="C1498" s="11"/>
      <c r="D1498" s="11"/>
      <c r="E1498" s="11"/>
      <c r="F1498" s="65"/>
      <c r="G1498" s="10">
        <v>637</v>
      </c>
      <c r="H1498" s="11" t="s">
        <v>123</v>
      </c>
      <c r="I1498" s="66">
        <f>1000+12150+4350+2000+1200+3160+12500</f>
        <v>36360</v>
      </c>
      <c r="J1498" s="66"/>
      <c r="K1498" s="66">
        <f t="shared" si="262"/>
        <v>36360</v>
      </c>
      <c r="L1498" s="66"/>
      <c r="M1498" s="66"/>
      <c r="N1498" s="66"/>
      <c r="O1498" s="66">
        <f t="shared" si="263"/>
        <v>0</v>
      </c>
      <c r="P1498" s="67"/>
      <c r="Q1498" s="68">
        <f t="shared" si="258"/>
        <v>36360</v>
      </c>
      <c r="R1498" s="68">
        <f t="shared" si="259"/>
        <v>0</v>
      </c>
      <c r="S1498" s="68">
        <f t="shared" si="260"/>
        <v>36360</v>
      </c>
    </row>
    <row r="1499" spans="2:19" x14ac:dyDescent="0.2">
      <c r="B1499" s="48">
        <f t="shared" si="261"/>
        <v>32</v>
      </c>
      <c r="C1499" s="9"/>
      <c r="D1499" s="9"/>
      <c r="E1499" s="9"/>
      <c r="F1499" s="61" t="s">
        <v>193</v>
      </c>
      <c r="G1499" s="8">
        <v>640</v>
      </c>
      <c r="H1499" s="9" t="s">
        <v>130</v>
      </c>
      <c r="I1499" s="62">
        <f>4400+9800+1000-1500</f>
        <v>13700</v>
      </c>
      <c r="J1499" s="62"/>
      <c r="K1499" s="62">
        <f t="shared" si="262"/>
        <v>13700</v>
      </c>
      <c r="L1499" s="62"/>
      <c r="M1499" s="62"/>
      <c r="N1499" s="62"/>
      <c r="O1499" s="62">
        <f t="shared" si="263"/>
        <v>0</v>
      </c>
      <c r="P1499" s="63"/>
      <c r="Q1499" s="64">
        <f t="shared" si="258"/>
        <v>13700</v>
      </c>
      <c r="R1499" s="64">
        <f t="shared" si="259"/>
        <v>0</v>
      </c>
      <c r="S1499" s="64">
        <f t="shared" si="260"/>
        <v>13700</v>
      </c>
    </row>
    <row r="1500" spans="2:19" ht="15" x14ac:dyDescent="0.2">
      <c r="B1500" s="48">
        <f t="shared" si="261"/>
        <v>33</v>
      </c>
      <c r="C1500" s="51">
        <v>2</v>
      </c>
      <c r="D1500" s="435" t="s">
        <v>141</v>
      </c>
      <c r="E1500" s="436"/>
      <c r="F1500" s="436"/>
      <c r="G1500" s="436"/>
      <c r="H1500" s="436"/>
      <c r="I1500" s="52">
        <f>I1514+I1501</f>
        <v>3556300</v>
      </c>
      <c r="J1500" s="52">
        <f>J1514+J1501</f>
        <v>-32000</v>
      </c>
      <c r="K1500" s="52">
        <f t="shared" si="262"/>
        <v>3524300</v>
      </c>
      <c r="L1500" s="53"/>
      <c r="M1500" s="52">
        <f>M1501</f>
        <v>13500</v>
      </c>
      <c r="N1500" s="52">
        <f>N1501</f>
        <v>661400</v>
      </c>
      <c r="O1500" s="52">
        <f t="shared" si="263"/>
        <v>674900</v>
      </c>
      <c r="P1500" s="54"/>
      <c r="Q1500" s="72">
        <f t="shared" ref="Q1500:Q1535" si="264">I1500+M1500</f>
        <v>3569800</v>
      </c>
      <c r="R1500" s="72">
        <f t="shared" ref="R1500:R1535" si="265">J1500+N1500</f>
        <v>629400</v>
      </c>
      <c r="S1500" s="72">
        <f t="shared" ref="S1500:S1535" si="266">K1500+O1500</f>
        <v>4199200</v>
      </c>
    </row>
    <row r="1501" spans="2:19" ht="15" x14ac:dyDescent="0.25">
      <c r="B1501" s="48">
        <f t="shared" ref="B1501:B1538" si="267">B1500+1</f>
        <v>34</v>
      </c>
      <c r="C1501" s="69"/>
      <c r="D1501" s="69">
        <v>1</v>
      </c>
      <c r="E1501" s="433" t="s">
        <v>140</v>
      </c>
      <c r="F1501" s="434"/>
      <c r="G1501" s="434"/>
      <c r="H1501" s="434"/>
      <c r="I1501" s="70">
        <f>I1502</f>
        <v>3554000</v>
      </c>
      <c r="J1501" s="70">
        <f>J1502</f>
        <v>-32000</v>
      </c>
      <c r="K1501" s="70">
        <f t="shared" si="262"/>
        <v>3522000</v>
      </c>
      <c r="L1501" s="58"/>
      <c r="M1501" s="70">
        <f>M1505</f>
        <v>13500</v>
      </c>
      <c r="N1501" s="70">
        <f>N1505</f>
        <v>661400</v>
      </c>
      <c r="O1501" s="70">
        <f t="shared" si="263"/>
        <v>674900</v>
      </c>
      <c r="P1501" s="59"/>
      <c r="Q1501" s="71">
        <f t="shared" si="264"/>
        <v>3567500</v>
      </c>
      <c r="R1501" s="71">
        <f t="shared" si="265"/>
        <v>629400</v>
      </c>
      <c r="S1501" s="71">
        <f t="shared" si="266"/>
        <v>4196900</v>
      </c>
    </row>
    <row r="1502" spans="2:19" x14ac:dyDescent="0.2">
      <c r="B1502" s="48">
        <f t="shared" si="267"/>
        <v>35</v>
      </c>
      <c r="C1502" s="9"/>
      <c r="D1502" s="9"/>
      <c r="E1502" s="9"/>
      <c r="F1502" s="61" t="s">
        <v>139</v>
      </c>
      <c r="G1502" s="8">
        <v>630</v>
      </c>
      <c r="H1502" s="9" t="s">
        <v>122</v>
      </c>
      <c r="I1502" s="62">
        <f>SUM(I1503:I1504)</f>
        <v>3554000</v>
      </c>
      <c r="J1502" s="62">
        <f>SUM(J1503:J1504)</f>
        <v>-32000</v>
      </c>
      <c r="K1502" s="62">
        <f t="shared" si="262"/>
        <v>3522000</v>
      </c>
      <c r="L1502" s="62"/>
      <c r="M1502" s="62"/>
      <c r="N1502" s="62"/>
      <c r="O1502" s="62">
        <f t="shared" si="263"/>
        <v>0</v>
      </c>
      <c r="P1502" s="63"/>
      <c r="Q1502" s="64">
        <f t="shared" si="264"/>
        <v>3554000</v>
      </c>
      <c r="R1502" s="64">
        <f t="shared" si="265"/>
        <v>-32000</v>
      </c>
      <c r="S1502" s="64">
        <f t="shared" si="266"/>
        <v>3522000</v>
      </c>
    </row>
    <row r="1503" spans="2:19" x14ac:dyDescent="0.2">
      <c r="B1503" s="48">
        <f t="shared" si="267"/>
        <v>36</v>
      </c>
      <c r="C1503" s="11"/>
      <c r="D1503" s="11"/>
      <c r="E1503" s="11"/>
      <c r="F1503" s="65"/>
      <c r="G1503" s="10">
        <v>635</v>
      </c>
      <c r="H1503" s="11" t="s">
        <v>134</v>
      </c>
      <c r="I1503" s="66">
        <v>4000</v>
      </c>
      <c r="J1503" s="66"/>
      <c r="K1503" s="66">
        <f t="shared" si="262"/>
        <v>4000</v>
      </c>
      <c r="L1503" s="66"/>
      <c r="M1503" s="66"/>
      <c r="N1503" s="66"/>
      <c r="O1503" s="66">
        <f t="shared" si="263"/>
        <v>0</v>
      </c>
      <c r="P1503" s="67"/>
      <c r="Q1503" s="68">
        <f t="shared" si="264"/>
        <v>4000</v>
      </c>
      <c r="R1503" s="68">
        <f t="shared" si="265"/>
        <v>0</v>
      </c>
      <c r="S1503" s="68">
        <f t="shared" si="266"/>
        <v>4000</v>
      </c>
    </row>
    <row r="1504" spans="2:19" x14ac:dyDescent="0.2">
      <c r="B1504" s="48">
        <f t="shared" si="267"/>
        <v>37</v>
      </c>
      <c r="C1504" s="11"/>
      <c r="D1504" s="11"/>
      <c r="E1504" s="11"/>
      <c r="F1504" s="65"/>
      <c r="G1504" s="10">
        <v>637</v>
      </c>
      <c r="H1504" s="11" t="s">
        <v>123</v>
      </c>
      <c r="I1504" s="66">
        <v>3550000</v>
      </c>
      <c r="J1504" s="66">
        <f>-250000+218000</f>
        <v>-32000</v>
      </c>
      <c r="K1504" s="66">
        <f t="shared" si="262"/>
        <v>3518000</v>
      </c>
      <c r="L1504" s="66"/>
      <c r="M1504" s="66"/>
      <c r="N1504" s="66"/>
      <c r="O1504" s="66">
        <f t="shared" si="263"/>
        <v>0</v>
      </c>
      <c r="P1504" s="67"/>
      <c r="Q1504" s="68">
        <f t="shared" si="264"/>
        <v>3550000</v>
      </c>
      <c r="R1504" s="68">
        <f t="shared" si="265"/>
        <v>-32000</v>
      </c>
      <c r="S1504" s="68">
        <f t="shared" si="266"/>
        <v>3518000</v>
      </c>
    </row>
    <row r="1505" spans="2:19" x14ac:dyDescent="0.2">
      <c r="B1505" s="48">
        <f t="shared" si="267"/>
        <v>38</v>
      </c>
      <c r="C1505" s="9"/>
      <c r="D1505" s="9"/>
      <c r="E1505" s="9"/>
      <c r="F1505" s="61" t="s">
        <v>139</v>
      </c>
      <c r="G1505" s="8">
        <v>710</v>
      </c>
      <c r="H1505" s="9" t="s">
        <v>176</v>
      </c>
      <c r="I1505" s="62"/>
      <c r="J1505" s="62"/>
      <c r="K1505" s="62">
        <f t="shared" si="262"/>
        <v>0</v>
      </c>
      <c r="L1505" s="62"/>
      <c r="M1505" s="62">
        <f>M1506</f>
        <v>13500</v>
      </c>
      <c r="N1505" s="62">
        <f>N1506+N1510</f>
        <v>661400</v>
      </c>
      <c r="O1505" s="62">
        <f t="shared" si="263"/>
        <v>674900</v>
      </c>
      <c r="P1505" s="63"/>
      <c r="Q1505" s="64">
        <f t="shared" si="264"/>
        <v>13500</v>
      </c>
      <c r="R1505" s="64">
        <f t="shared" si="265"/>
        <v>661400</v>
      </c>
      <c r="S1505" s="64">
        <f t="shared" si="266"/>
        <v>674900</v>
      </c>
    </row>
    <row r="1506" spans="2:19" s="79" customFormat="1" x14ac:dyDescent="0.2">
      <c r="B1506" s="48">
        <f t="shared" si="267"/>
        <v>39</v>
      </c>
      <c r="C1506" s="196"/>
      <c r="D1506" s="196"/>
      <c r="E1506" s="196"/>
      <c r="F1506" s="197"/>
      <c r="G1506" s="198">
        <v>716</v>
      </c>
      <c r="H1506" s="196" t="s">
        <v>216</v>
      </c>
      <c r="I1506" s="199"/>
      <c r="J1506" s="199"/>
      <c r="K1506" s="199">
        <f t="shared" si="262"/>
        <v>0</v>
      </c>
      <c r="L1506" s="199"/>
      <c r="M1506" s="199">
        <f>M1507+M1509</f>
        <v>13500</v>
      </c>
      <c r="N1506" s="199">
        <f>SUM(N1507:N1509)</f>
        <v>20000</v>
      </c>
      <c r="O1506" s="199">
        <f t="shared" si="263"/>
        <v>33500</v>
      </c>
      <c r="P1506" s="200"/>
      <c r="Q1506" s="80">
        <f t="shared" si="264"/>
        <v>13500</v>
      </c>
      <c r="R1506" s="80">
        <f t="shared" si="265"/>
        <v>20000</v>
      </c>
      <c r="S1506" s="80">
        <f t="shared" si="266"/>
        <v>33500</v>
      </c>
    </row>
    <row r="1507" spans="2:19" s="284" customFormat="1" x14ac:dyDescent="0.2">
      <c r="B1507" s="48">
        <f t="shared" si="267"/>
        <v>40</v>
      </c>
      <c r="C1507" s="73"/>
      <c r="D1507" s="73"/>
      <c r="E1507" s="73"/>
      <c r="F1507" s="212"/>
      <c r="G1507" s="212"/>
      <c r="H1507" s="283" t="s">
        <v>276</v>
      </c>
      <c r="I1507" s="76"/>
      <c r="J1507" s="76"/>
      <c r="K1507" s="76">
        <f t="shared" si="262"/>
        <v>0</v>
      </c>
      <c r="L1507" s="76"/>
      <c r="M1507" s="76">
        <v>10000</v>
      </c>
      <c r="N1507" s="76"/>
      <c r="O1507" s="76">
        <f t="shared" si="263"/>
        <v>10000</v>
      </c>
      <c r="P1507" s="77"/>
      <c r="Q1507" s="78">
        <f t="shared" si="264"/>
        <v>10000</v>
      </c>
      <c r="R1507" s="78">
        <f t="shared" si="265"/>
        <v>0</v>
      </c>
      <c r="S1507" s="78">
        <f t="shared" si="266"/>
        <v>10000</v>
      </c>
    </row>
    <row r="1508" spans="2:19" s="284" customFormat="1" x14ac:dyDescent="0.2">
      <c r="B1508" s="48">
        <f t="shared" si="267"/>
        <v>41</v>
      </c>
      <c r="C1508" s="73"/>
      <c r="D1508" s="73"/>
      <c r="E1508" s="73"/>
      <c r="F1508" s="212"/>
      <c r="G1508" s="212"/>
      <c r="H1508" s="283" t="s">
        <v>666</v>
      </c>
      <c r="I1508" s="76"/>
      <c r="J1508" s="76"/>
      <c r="K1508" s="76">
        <v>0</v>
      </c>
      <c r="L1508" s="76"/>
      <c r="M1508" s="76">
        <v>0</v>
      </c>
      <c r="N1508" s="76">
        <v>20000</v>
      </c>
      <c r="O1508" s="76">
        <f>M1508+N1508</f>
        <v>20000</v>
      </c>
      <c r="P1508" s="77"/>
      <c r="Q1508" s="78">
        <f t="shared" si="264"/>
        <v>0</v>
      </c>
      <c r="R1508" s="78">
        <f t="shared" si="265"/>
        <v>20000</v>
      </c>
      <c r="S1508" s="78">
        <f t="shared" si="266"/>
        <v>20000</v>
      </c>
    </row>
    <row r="1509" spans="2:19" s="79" customFormat="1" ht="24" x14ac:dyDescent="0.2">
      <c r="B1509" s="48">
        <f t="shared" si="267"/>
        <v>42</v>
      </c>
      <c r="C1509" s="73"/>
      <c r="D1509" s="73"/>
      <c r="E1509" s="73"/>
      <c r="F1509" s="212"/>
      <c r="G1509" s="212"/>
      <c r="H1509" s="75" t="s">
        <v>563</v>
      </c>
      <c r="I1509" s="76"/>
      <c r="J1509" s="76"/>
      <c r="K1509" s="76">
        <f t="shared" si="262"/>
        <v>0</v>
      </c>
      <c r="L1509" s="76"/>
      <c r="M1509" s="76">
        <v>3500</v>
      </c>
      <c r="N1509" s="76"/>
      <c r="O1509" s="76">
        <f t="shared" si="263"/>
        <v>3500</v>
      </c>
      <c r="P1509" s="77"/>
      <c r="Q1509" s="78">
        <f t="shared" si="264"/>
        <v>3500</v>
      </c>
      <c r="R1509" s="78">
        <f t="shared" si="265"/>
        <v>0</v>
      </c>
      <c r="S1509" s="78">
        <f t="shared" si="266"/>
        <v>3500</v>
      </c>
    </row>
    <row r="1510" spans="2:19" s="79" customFormat="1" x14ac:dyDescent="0.2">
      <c r="B1510" s="48">
        <f t="shared" si="267"/>
        <v>43</v>
      </c>
      <c r="C1510" s="196"/>
      <c r="D1510" s="196"/>
      <c r="E1510" s="196"/>
      <c r="F1510" s="197"/>
      <c r="G1510" s="198">
        <v>717</v>
      </c>
      <c r="H1510" s="196" t="s">
        <v>183</v>
      </c>
      <c r="I1510" s="199"/>
      <c r="J1510" s="199"/>
      <c r="K1510" s="199">
        <f t="shared" ref="K1510" si="268">I1510+J1510</f>
        <v>0</v>
      </c>
      <c r="L1510" s="199"/>
      <c r="M1510" s="199">
        <f>M1511+M1516</f>
        <v>0</v>
      </c>
      <c r="N1510" s="199">
        <f>SUM(N1511:N1513)</f>
        <v>641400</v>
      </c>
      <c r="O1510" s="199">
        <f t="shared" ref="O1510" si="269">M1510+N1510</f>
        <v>641400</v>
      </c>
      <c r="P1510" s="200"/>
      <c r="Q1510" s="80">
        <f t="shared" ref="Q1510" si="270">I1510+M1510</f>
        <v>0</v>
      </c>
      <c r="R1510" s="80">
        <f t="shared" ref="R1510" si="271">J1510+N1510</f>
        <v>641400</v>
      </c>
      <c r="S1510" s="80">
        <f t="shared" ref="S1510" si="272">K1510+O1510</f>
        <v>641400</v>
      </c>
    </row>
    <row r="1511" spans="2:19" s="284" customFormat="1" ht="24" x14ac:dyDescent="0.2">
      <c r="B1511" s="48">
        <f t="shared" si="267"/>
        <v>44</v>
      </c>
      <c r="C1511" s="73"/>
      <c r="D1511" s="73"/>
      <c r="E1511" s="73"/>
      <c r="F1511" s="212"/>
      <c r="G1511" s="212"/>
      <c r="H1511" s="75" t="s">
        <v>665</v>
      </c>
      <c r="I1511" s="76"/>
      <c r="J1511" s="76"/>
      <c r="K1511" s="76"/>
      <c r="L1511" s="76"/>
      <c r="M1511" s="76">
        <v>0</v>
      </c>
      <c r="N1511" s="76">
        <v>165000</v>
      </c>
      <c r="O1511" s="76">
        <f t="shared" ref="O1511:O1513" si="273">M1511+N1511</f>
        <v>165000</v>
      </c>
      <c r="P1511" s="77"/>
      <c r="Q1511" s="78">
        <f t="shared" ref="Q1511:Q1513" si="274">I1511+M1511</f>
        <v>0</v>
      </c>
      <c r="R1511" s="78">
        <f t="shared" ref="R1511:R1513" si="275">J1511+N1511</f>
        <v>165000</v>
      </c>
      <c r="S1511" s="78">
        <f t="shared" ref="S1511:S1513" si="276">K1511+O1511</f>
        <v>165000</v>
      </c>
    </row>
    <row r="1512" spans="2:19" s="79" customFormat="1" ht="24" x14ac:dyDescent="0.2">
      <c r="B1512" s="48">
        <f t="shared" si="267"/>
        <v>45</v>
      </c>
      <c r="C1512" s="73"/>
      <c r="D1512" s="73"/>
      <c r="E1512" s="73"/>
      <c r="F1512" s="212"/>
      <c r="G1512" s="212"/>
      <c r="H1512" s="75" t="s">
        <v>667</v>
      </c>
      <c r="I1512" s="76"/>
      <c r="J1512" s="76"/>
      <c r="K1512" s="76"/>
      <c r="L1512" s="76"/>
      <c r="M1512" s="76">
        <v>0</v>
      </c>
      <c r="N1512" s="76">
        <v>200000</v>
      </c>
      <c r="O1512" s="76">
        <f t="shared" si="273"/>
        <v>200000</v>
      </c>
      <c r="P1512" s="77"/>
      <c r="Q1512" s="78">
        <f t="shared" si="274"/>
        <v>0</v>
      </c>
      <c r="R1512" s="78">
        <f t="shared" si="275"/>
        <v>200000</v>
      </c>
      <c r="S1512" s="78">
        <f t="shared" si="276"/>
        <v>200000</v>
      </c>
    </row>
    <row r="1513" spans="2:19" s="79" customFormat="1" x14ac:dyDescent="0.2">
      <c r="B1513" s="48">
        <f t="shared" si="267"/>
        <v>46</v>
      </c>
      <c r="C1513" s="73"/>
      <c r="D1513" s="73"/>
      <c r="E1513" s="73"/>
      <c r="F1513" s="212"/>
      <c r="G1513" s="212"/>
      <c r="H1513" s="75" t="s">
        <v>276</v>
      </c>
      <c r="I1513" s="76"/>
      <c r="J1513" s="76"/>
      <c r="K1513" s="76"/>
      <c r="L1513" s="76"/>
      <c r="M1513" s="76">
        <v>0</v>
      </c>
      <c r="N1513" s="76">
        <v>276400</v>
      </c>
      <c r="O1513" s="76">
        <f t="shared" si="273"/>
        <v>276400</v>
      </c>
      <c r="P1513" s="77"/>
      <c r="Q1513" s="78">
        <f t="shared" si="274"/>
        <v>0</v>
      </c>
      <c r="R1513" s="78">
        <f t="shared" si="275"/>
        <v>276400</v>
      </c>
      <c r="S1513" s="78">
        <f t="shared" si="276"/>
        <v>276400</v>
      </c>
    </row>
    <row r="1514" spans="2:19" ht="15" x14ac:dyDescent="0.25">
      <c r="B1514" s="48">
        <f t="shared" si="267"/>
        <v>47</v>
      </c>
      <c r="C1514" s="69"/>
      <c r="D1514" s="69">
        <v>2</v>
      </c>
      <c r="E1514" s="433" t="s">
        <v>240</v>
      </c>
      <c r="F1514" s="434"/>
      <c r="G1514" s="434"/>
      <c r="H1514" s="434"/>
      <c r="I1514" s="70">
        <f>I1515</f>
        <v>2300</v>
      </c>
      <c r="J1514" s="70">
        <f>J1515</f>
        <v>0</v>
      </c>
      <c r="K1514" s="70">
        <f t="shared" si="262"/>
        <v>2300</v>
      </c>
      <c r="L1514" s="58"/>
      <c r="M1514" s="70"/>
      <c r="N1514" s="70"/>
      <c r="O1514" s="70">
        <f t="shared" si="263"/>
        <v>0</v>
      </c>
      <c r="P1514" s="59"/>
      <c r="Q1514" s="71">
        <f t="shared" si="264"/>
        <v>2300</v>
      </c>
      <c r="R1514" s="71">
        <f t="shared" si="265"/>
        <v>0</v>
      </c>
      <c r="S1514" s="71">
        <f t="shared" si="266"/>
        <v>2300</v>
      </c>
    </row>
    <row r="1515" spans="2:19" x14ac:dyDescent="0.2">
      <c r="B1515" s="48">
        <f t="shared" si="267"/>
        <v>48</v>
      </c>
      <c r="C1515" s="9"/>
      <c r="D1515" s="9"/>
      <c r="E1515" s="9"/>
      <c r="F1515" s="61" t="s">
        <v>139</v>
      </c>
      <c r="G1515" s="8">
        <v>630</v>
      </c>
      <c r="H1515" s="9" t="s">
        <v>122</v>
      </c>
      <c r="I1515" s="62">
        <f>I1516</f>
        <v>2300</v>
      </c>
      <c r="J1515" s="62">
        <f>J1516</f>
        <v>0</v>
      </c>
      <c r="K1515" s="62">
        <f t="shared" si="262"/>
        <v>2300</v>
      </c>
      <c r="L1515" s="62"/>
      <c r="M1515" s="62"/>
      <c r="N1515" s="62"/>
      <c r="O1515" s="62">
        <f t="shared" si="263"/>
        <v>0</v>
      </c>
      <c r="P1515" s="63"/>
      <c r="Q1515" s="64">
        <f t="shared" si="264"/>
        <v>2300</v>
      </c>
      <c r="R1515" s="64">
        <f t="shared" si="265"/>
        <v>0</v>
      </c>
      <c r="S1515" s="64">
        <f t="shared" si="266"/>
        <v>2300</v>
      </c>
    </row>
    <row r="1516" spans="2:19" x14ac:dyDescent="0.2">
      <c r="B1516" s="48">
        <f t="shared" si="267"/>
        <v>49</v>
      </c>
      <c r="C1516" s="11"/>
      <c r="D1516" s="11"/>
      <c r="E1516" s="11"/>
      <c r="F1516" s="65"/>
      <c r="G1516" s="10">
        <v>637</v>
      </c>
      <c r="H1516" s="11" t="s">
        <v>123</v>
      </c>
      <c r="I1516" s="66">
        <v>2300</v>
      </c>
      <c r="J1516" s="66"/>
      <c r="K1516" s="66">
        <f t="shared" si="262"/>
        <v>2300</v>
      </c>
      <c r="L1516" s="66"/>
      <c r="M1516" s="66"/>
      <c r="N1516" s="66"/>
      <c r="O1516" s="66">
        <f t="shared" si="263"/>
        <v>0</v>
      </c>
      <c r="P1516" s="67"/>
      <c r="Q1516" s="68">
        <f t="shared" si="264"/>
        <v>2300</v>
      </c>
      <c r="R1516" s="68">
        <f t="shared" si="265"/>
        <v>0</v>
      </c>
      <c r="S1516" s="68">
        <f t="shared" si="266"/>
        <v>2300</v>
      </c>
    </row>
    <row r="1517" spans="2:19" ht="15" x14ac:dyDescent="0.2">
      <c r="B1517" s="48">
        <f t="shared" si="267"/>
        <v>50</v>
      </c>
      <c r="C1517" s="51">
        <v>3</v>
      </c>
      <c r="D1517" s="435" t="s">
        <v>242</v>
      </c>
      <c r="E1517" s="436"/>
      <c r="F1517" s="436"/>
      <c r="G1517" s="436"/>
      <c r="H1517" s="436"/>
      <c r="I1517" s="52">
        <f>I1518+I1521+I1528</f>
        <v>49100</v>
      </c>
      <c r="J1517" s="52">
        <f>J1518+J1521+J1528</f>
        <v>0</v>
      </c>
      <c r="K1517" s="52">
        <f t="shared" si="262"/>
        <v>49100</v>
      </c>
      <c r="L1517" s="53"/>
      <c r="M1517" s="52">
        <f>M1524</f>
        <v>25000</v>
      </c>
      <c r="N1517" s="52">
        <f>N1524</f>
        <v>27000</v>
      </c>
      <c r="O1517" s="52">
        <f t="shared" si="263"/>
        <v>52000</v>
      </c>
      <c r="P1517" s="54"/>
      <c r="Q1517" s="72">
        <f t="shared" si="264"/>
        <v>74100</v>
      </c>
      <c r="R1517" s="72">
        <f t="shared" si="265"/>
        <v>27000</v>
      </c>
      <c r="S1517" s="72">
        <f t="shared" si="266"/>
        <v>101100</v>
      </c>
    </row>
    <row r="1518" spans="2:19" x14ac:dyDescent="0.2">
      <c r="B1518" s="48">
        <f t="shared" si="267"/>
        <v>51</v>
      </c>
      <c r="C1518" s="9"/>
      <c r="D1518" s="9"/>
      <c r="E1518" s="9"/>
      <c r="F1518" s="61" t="s">
        <v>241</v>
      </c>
      <c r="G1518" s="8">
        <v>630</v>
      </c>
      <c r="H1518" s="9" t="s">
        <v>122</v>
      </c>
      <c r="I1518" s="62">
        <f>I1520+I1519</f>
        <v>27600</v>
      </c>
      <c r="J1518" s="62">
        <f>J1520+J1519</f>
        <v>0</v>
      </c>
      <c r="K1518" s="62">
        <f t="shared" si="262"/>
        <v>27600</v>
      </c>
      <c r="L1518" s="62"/>
      <c r="M1518" s="62"/>
      <c r="N1518" s="62"/>
      <c r="O1518" s="62">
        <f t="shared" si="263"/>
        <v>0</v>
      </c>
      <c r="P1518" s="63"/>
      <c r="Q1518" s="64">
        <f t="shared" si="264"/>
        <v>27600</v>
      </c>
      <c r="R1518" s="64">
        <f t="shared" si="265"/>
        <v>0</v>
      </c>
      <c r="S1518" s="64">
        <f t="shared" si="266"/>
        <v>27600</v>
      </c>
    </row>
    <row r="1519" spans="2:19" x14ac:dyDescent="0.2">
      <c r="B1519" s="48">
        <f t="shared" si="267"/>
        <v>52</v>
      </c>
      <c r="C1519" s="11"/>
      <c r="D1519" s="11"/>
      <c r="E1519" s="11"/>
      <c r="F1519" s="65"/>
      <c r="G1519" s="10">
        <v>633</v>
      </c>
      <c r="H1519" s="11" t="s">
        <v>126</v>
      </c>
      <c r="I1519" s="66">
        <v>100</v>
      </c>
      <c r="J1519" s="66"/>
      <c r="K1519" s="66">
        <f t="shared" si="262"/>
        <v>100</v>
      </c>
      <c r="L1519" s="66"/>
      <c r="M1519" s="66"/>
      <c r="N1519" s="66"/>
      <c r="O1519" s="66">
        <f t="shared" si="263"/>
        <v>0</v>
      </c>
      <c r="P1519" s="67"/>
      <c r="Q1519" s="68">
        <f t="shared" si="264"/>
        <v>100</v>
      </c>
      <c r="R1519" s="68">
        <f t="shared" si="265"/>
        <v>0</v>
      </c>
      <c r="S1519" s="68">
        <f t="shared" si="266"/>
        <v>100</v>
      </c>
    </row>
    <row r="1520" spans="2:19" x14ac:dyDescent="0.2">
      <c r="B1520" s="48">
        <f t="shared" si="267"/>
        <v>53</v>
      </c>
      <c r="C1520" s="11"/>
      <c r="D1520" s="11"/>
      <c r="E1520" s="11"/>
      <c r="F1520" s="65"/>
      <c r="G1520" s="10">
        <v>637</v>
      </c>
      <c r="H1520" s="11" t="s">
        <v>123</v>
      </c>
      <c r="I1520" s="66">
        <v>27500</v>
      </c>
      <c r="J1520" s="66"/>
      <c r="K1520" s="66">
        <f t="shared" si="262"/>
        <v>27500</v>
      </c>
      <c r="L1520" s="66"/>
      <c r="M1520" s="66"/>
      <c r="N1520" s="66"/>
      <c r="O1520" s="66">
        <f t="shared" si="263"/>
        <v>0</v>
      </c>
      <c r="P1520" s="67"/>
      <c r="Q1520" s="68">
        <f t="shared" si="264"/>
        <v>27500</v>
      </c>
      <c r="R1520" s="68">
        <f t="shared" si="265"/>
        <v>0</v>
      </c>
      <c r="S1520" s="68">
        <f t="shared" si="266"/>
        <v>27500</v>
      </c>
    </row>
    <row r="1521" spans="2:19" x14ac:dyDescent="0.2">
      <c r="B1521" s="48">
        <f t="shared" si="267"/>
        <v>54</v>
      </c>
      <c r="C1521" s="9"/>
      <c r="D1521" s="9"/>
      <c r="E1521" s="9"/>
      <c r="F1521" s="61" t="s">
        <v>241</v>
      </c>
      <c r="G1521" s="8">
        <v>640</v>
      </c>
      <c r="H1521" s="9" t="s">
        <v>130</v>
      </c>
      <c r="I1521" s="62">
        <f>SUM(I1522:I1523)</f>
        <v>12000</v>
      </c>
      <c r="J1521" s="62">
        <f>SUM(J1522:J1523)</f>
        <v>0</v>
      </c>
      <c r="K1521" s="62">
        <f t="shared" si="262"/>
        <v>12000</v>
      </c>
      <c r="L1521" s="62"/>
      <c r="M1521" s="62"/>
      <c r="N1521" s="62"/>
      <c r="O1521" s="62">
        <f t="shared" si="263"/>
        <v>0</v>
      </c>
      <c r="P1521" s="63"/>
      <c r="Q1521" s="64">
        <f t="shared" si="264"/>
        <v>12000</v>
      </c>
      <c r="R1521" s="64">
        <f t="shared" si="265"/>
        <v>0</v>
      </c>
      <c r="S1521" s="64">
        <f t="shared" si="266"/>
        <v>12000</v>
      </c>
    </row>
    <row r="1522" spans="2:19" x14ac:dyDescent="0.2">
      <c r="B1522" s="48">
        <f t="shared" si="267"/>
        <v>55</v>
      </c>
      <c r="C1522" s="81"/>
      <c r="D1522" s="81"/>
      <c r="E1522" s="81"/>
      <c r="F1522" s="12"/>
      <c r="G1522" s="12"/>
      <c r="H1522" s="13" t="s">
        <v>349</v>
      </c>
      <c r="I1522" s="83">
        <v>10000</v>
      </c>
      <c r="J1522" s="83"/>
      <c r="K1522" s="83">
        <f t="shared" si="262"/>
        <v>10000</v>
      </c>
      <c r="L1522" s="83"/>
      <c r="M1522" s="83"/>
      <c r="N1522" s="83"/>
      <c r="O1522" s="83">
        <f t="shared" si="263"/>
        <v>0</v>
      </c>
      <c r="P1522" s="84"/>
      <c r="Q1522" s="85">
        <f t="shared" si="264"/>
        <v>10000</v>
      </c>
      <c r="R1522" s="85">
        <f t="shared" si="265"/>
        <v>0</v>
      </c>
      <c r="S1522" s="85">
        <f t="shared" si="266"/>
        <v>10000</v>
      </c>
    </row>
    <row r="1523" spans="2:19" s="164" customFormat="1" x14ac:dyDescent="0.2">
      <c r="B1523" s="48">
        <f t="shared" si="267"/>
        <v>56</v>
      </c>
      <c r="C1523" s="81"/>
      <c r="D1523" s="81"/>
      <c r="E1523" s="81"/>
      <c r="F1523" s="12"/>
      <c r="G1523" s="12"/>
      <c r="H1523" s="285" t="s">
        <v>505</v>
      </c>
      <c r="I1523" s="83">
        <v>2000</v>
      </c>
      <c r="J1523" s="83"/>
      <c r="K1523" s="83">
        <f t="shared" si="262"/>
        <v>2000</v>
      </c>
      <c r="L1523" s="83"/>
      <c r="M1523" s="83"/>
      <c r="N1523" s="83"/>
      <c r="O1523" s="83">
        <f t="shared" si="263"/>
        <v>0</v>
      </c>
      <c r="P1523" s="84"/>
      <c r="Q1523" s="85">
        <f t="shared" si="264"/>
        <v>2000</v>
      </c>
      <c r="R1523" s="85">
        <f t="shared" si="265"/>
        <v>0</v>
      </c>
      <c r="S1523" s="85">
        <f t="shared" si="266"/>
        <v>2000</v>
      </c>
    </row>
    <row r="1524" spans="2:19" s="164" customFormat="1" x14ac:dyDescent="0.2">
      <c r="B1524" s="48">
        <f t="shared" si="267"/>
        <v>57</v>
      </c>
      <c r="C1524" s="81"/>
      <c r="D1524" s="81"/>
      <c r="E1524" s="81"/>
      <c r="F1524" s="61" t="s">
        <v>154</v>
      </c>
      <c r="G1524" s="8">
        <v>710</v>
      </c>
      <c r="H1524" s="9" t="s">
        <v>176</v>
      </c>
      <c r="I1524" s="62"/>
      <c r="J1524" s="62"/>
      <c r="K1524" s="62">
        <f t="shared" si="262"/>
        <v>0</v>
      </c>
      <c r="L1524" s="62"/>
      <c r="M1524" s="62">
        <f>M1525+M1529</f>
        <v>25000</v>
      </c>
      <c r="N1524" s="62">
        <f>N1525+N1529</f>
        <v>27000</v>
      </c>
      <c r="O1524" s="62">
        <f t="shared" si="263"/>
        <v>52000</v>
      </c>
      <c r="P1524" s="63"/>
      <c r="Q1524" s="64">
        <f t="shared" si="264"/>
        <v>25000</v>
      </c>
      <c r="R1524" s="64">
        <f t="shared" si="265"/>
        <v>27000</v>
      </c>
      <c r="S1524" s="64">
        <f t="shared" si="266"/>
        <v>52000</v>
      </c>
    </row>
    <row r="1525" spans="2:19" x14ac:dyDescent="0.2">
      <c r="B1525" s="48">
        <f t="shared" si="267"/>
        <v>58</v>
      </c>
      <c r="C1525" s="81"/>
      <c r="D1525" s="81"/>
      <c r="E1525" s="81"/>
      <c r="F1525" s="286"/>
      <c r="G1525" s="10">
        <v>717</v>
      </c>
      <c r="H1525" s="11" t="s">
        <v>183</v>
      </c>
      <c r="I1525" s="66"/>
      <c r="J1525" s="66"/>
      <c r="K1525" s="66">
        <f t="shared" si="262"/>
        <v>0</v>
      </c>
      <c r="L1525" s="66"/>
      <c r="M1525" s="66">
        <f>M1526+M1528</f>
        <v>25000</v>
      </c>
      <c r="N1525" s="66">
        <f>SUM(N1526:N1527)</f>
        <v>27000</v>
      </c>
      <c r="O1525" s="66">
        <f t="shared" si="263"/>
        <v>52000</v>
      </c>
      <c r="P1525" s="67"/>
      <c r="Q1525" s="68">
        <f t="shared" si="264"/>
        <v>25000</v>
      </c>
      <c r="R1525" s="68">
        <f t="shared" si="265"/>
        <v>27000</v>
      </c>
      <c r="S1525" s="68">
        <f t="shared" si="266"/>
        <v>52000</v>
      </c>
    </row>
    <row r="1526" spans="2:19" x14ac:dyDescent="0.2">
      <c r="B1526" s="48">
        <f t="shared" si="267"/>
        <v>59</v>
      </c>
      <c r="C1526" s="81"/>
      <c r="D1526" s="81"/>
      <c r="E1526" s="81"/>
      <c r="F1526" s="286"/>
      <c r="G1526" s="12"/>
      <c r="H1526" s="13" t="s">
        <v>579</v>
      </c>
      <c r="I1526" s="83"/>
      <c r="J1526" s="83"/>
      <c r="K1526" s="83">
        <f t="shared" si="262"/>
        <v>0</v>
      </c>
      <c r="L1526" s="83"/>
      <c r="M1526" s="83">
        <v>25000</v>
      </c>
      <c r="N1526" s="83"/>
      <c r="O1526" s="83">
        <f t="shared" si="263"/>
        <v>25000</v>
      </c>
      <c r="P1526" s="84"/>
      <c r="Q1526" s="85">
        <f t="shared" si="264"/>
        <v>25000</v>
      </c>
      <c r="R1526" s="85">
        <f t="shared" si="265"/>
        <v>0</v>
      </c>
      <c r="S1526" s="85">
        <f t="shared" si="266"/>
        <v>25000</v>
      </c>
    </row>
    <row r="1527" spans="2:19" x14ac:dyDescent="0.2">
      <c r="B1527" s="48">
        <f t="shared" si="267"/>
        <v>60</v>
      </c>
      <c r="C1527" s="81"/>
      <c r="D1527" s="81"/>
      <c r="E1527" s="81"/>
      <c r="F1527" s="286"/>
      <c r="G1527" s="12"/>
      <c r="H1527" s="13" t="s">
        <v>633</v>
      </c>
      <c r="I1527" s="83"/>
      <c r="J1527" s="83"/>
      <c r="K1527" s="83">
        <v>0</v>
      </c>
      <c r="L1527" s="83"/>
      <c r="M1527" s="83">
        <v>0</v>
      </c>
      <c r="N1527" s="83">
        <v>27000</v>
      </c>
      <c r="O1527" s="83">
        <f>N1527</f>
        <v>27000</v>
      </c>
      <c r="P1527" s="84"/>
      <c r="Q1527" s="85">
        <f t="shared" si="264"/>
        <v>0</v>
      </c>
      <c r="R1527" s="85">
        <f t="shared" si="265"/>
        <v>27000</v>
      </c>
      <c r="S1527" s="85">
        <f t="shared" si="266"/>
        <v>27000</v>
      </c>
    </row>
    <row r="1528" spans="2:19" ht="15" x14ac:dyDescent="0.25">
      <c r="B1528" s="48">
        <f t="shared" si="267"/>
        <v>61</v>
      </c>
      <c r="C1528" s="166"/>
      <c r="D1528" s="166"/>
      <c r="E1528" s="166">
        <v>2</v>
      </c>
      <c r="F1528" s="167"/>
      <c r="G1528" s="167"/>
      <c r="H1528" s="166" t="s">
        <v>11</v>
      </c>
      <c r="I1528" s="168">
        <f>I1529</f>
        <v>9500</v>
      </c>
      <c r="J1528" s="168">
        <f>J1529</f>
        <v>0</v>
      </c>
      <c r="K1528" s="168">
        <f t="shared" si="262"/>
        <v>9500</v>
      </c>
      <c r="L1528" s="58"/>
      <c r="M1528" s="168"/>
      <c r="N1528" s="168"/>
      <c r="O1528" s="168">
        <f t="shared" si="263"/>
        <v>0</v>
      </c>
      <c r="P1528" s="59"/>
      <c r="Q1528" s="169">
        <f t="shared" si="264"/>
        <v>9500</v>
      </c>
      <c r="R1528" s="169">
        <f t="shared" si="265"/>
        <v>0</v>
      </c>
      <c r="S1528" s="169">
        <f t="shared" si="266"/>
        <v>9500</v>
      </c>
    </row>
    <row r="1529" spans="2:19" x14ac:dyDescent="0.2">
      <c r="B1529" s="48">
        <f t="shared" si="267"/>
        <v>62</v>
      </c>
      <c r="C1529" s="9"/>
      <c r="D1529" s="9"/>
      <c r="E1529" s="9"/>
      <c r="F1529" s="61" t="s">
        <v>193</v>
      </c>
      <c r="G1529" s="8">
        <v>630</v>
      </c>
      <c r="H1529" s="9" t="s">
        <v>122</v>
      </c>
      <c r="I1529" s="62">
        <f>I1530</f>
        <v>9500</v>
      </c>
      <c r="J1529" s="62">
        <f>J1530</f>
        <v>0</v>
      </c>
      <c r="K1529" s="62">
        <f t="shared" si="262"/>
        <v>9500</v>
      </c>
      <c r="L1529" s="62"/>
      <c r="M1529" s="62"/>
      <c r="N1529" s="62"/>
      <c r="O1529" s="62">
        <f t="shared" si="263"/>
        <v>0</v>
      </c>
      <c r="P1529" s="63"/>
      <c r="Q1529" s="64">
        <f t="shared" si="264"/>
        <v>9500</v>
      </c>
      <c r="R1529" s="64">
        <f t="shared" si="265"/>
        <v>0</v>
      </c>
      <c r="S1529" s="64">
        <f t="shared" si="266"/>
        <v>9500</v>
      </c>
    </row>
    <row r="1530" spans="2:19" x14ac:dyDescent="0.2">
      <c r="B1530" s="48">
        <f t="shared" si="267"/>
        <v>63</v>
      </c>
      <c r="C1530" s="11"/>
      <c r="D1530" s="11"/>
      <c r="E1530" s="11"/>
      <c r="F1530" s="65"/>
      <c r="G1530" s="10">
        <v>635</v>
      </c>
      <c r="H1530" s="11" t="s">
        <v>134</v>
      </c>
      <c r="I1530" s="66">
        <v>9500</v>
      </c>
      <c r="J1530" s="66"/>
      <c r="K1530" s="66">
        <f t="shared" si="262"/>
        <v>9500</v>
      </c>
      <c r="L1530" s="66"/>
      <c r="M1530" s="66"/>
      <c r="N1530" s="66"/>
      <c r="O1530" s="66">
        <f t="shared" si="263"/>
        <v>0</v>
      </c>
      <c r="P1530" s="67"/>
      <c r="Q1530" s="68">
        <f t="shared" si="264"/>
        <v>9500</v>
      </c>
      <c r="R1530" s="68">
        <f t="shared" si="265"/>
        <v>0</v>
      </c>
      <c r="S1530" s="68">
        <f t="shared" si="266"/>
        <v>9500</v>
      </c>
    </row>
    <row r="1531" spans="2:19" ht="15" x14ac:dyDescent="0.2">
      <c r="B1531" s="48">
        <f t="shared" si="267"/>
        <v>64</v>
      </c>
      <c r="C1531" s="51">
        <v>4</v>
      </c>
      <c r="D1531" s="435" t="s">
        <v>63</v>
      </c>
      <c r="E1531" s="436"/>
      <c r="F1531" s="436"/>
      <c r="G1531" s="436"/>
      <c r="H1531" s="436"/>
      <c r="I1531" s="52">
        <f>I1532</f>
        <v>25000</v>
      </c>
      <c r="J1531" s="52">
        <f>J1532</f>
        <v>0</v>
      </c>
      <c r="K1531" s="52">
        <f t="shared" si="262"/>
        <v>25000</v>
      </c>
      <c r="L1531" s="53"/>
      <c r="M1531" s="52"/>
      <c r="N1531" s="52"/>
      <c r="O1531" s="52">
        <f t="shared" si="263"/>
        <v>0</v>
      </c>
      <c r="P1531" s="54"/>
      <c r="Q1531" s="72">
        <f t="shared" si="264"/>
        <v>25000</v>
      </c>
      <c r="R1531" s="72">
        <f t="shared" si="265"/>
        <v>0</v>
      </c>
      <c r="S1531" s="72">
        <f t="shared" si="266"/>
        <v>25000</v>
      </c>
    </row>
    <row r="1532" spans="2:19" x14ac:dyDescent="0.2">
      <c r="B1532" s="48">
        <f t="shared" si="267"/>
        <v>65</v>
      </c>
      <c r="C1532" s="9"/>
      <c r="D1532" s="9"/>
      <c r="E1532" s="9"/>
      <c r="F1532" s="61" t="s">
        <v>193</v>
      </c>
      <c r="G1532" s="8">
        <v>640</v>
      </c>
      <c r="H1532" s="9" t="s">
        <v>130</v>
      </c>
      <c r="I1532" s="62">
        <f>I1533</f>
        <v>25000</v>
      </c>
      <c r="J1532" s="62">
        <f>J1533</f>
        <v>0</v>
      </c>
      <c r="K1532" s="62">
        <f t="shared" si="262"/>
        <v>25000</v>
      </c>
      <c r="L1532" s="62"/>
      <c r="M1532" s="62"/>
      <c r="N1532" s="62"/>
      <c r="O1532" s="62">
        <f t="shared" si="263"/>
        <v>0</v>
      </c>
      <c r="P1532" s="63"/>
      <c r="Q1532" s="64">
        <f t="shared" si="264"/>
        <v>25000</v>
      </c>
      <c r="R1532" s="64">
        <f t="shared" si="265"/>
        <v>0</v>
      </c>
      <c r="S1532" s="64">
        <f t="shared" si="266"/>
        <v>25000</v>
      </c>
    </row>
    <row r="1533" spans="2:19" x14ac:dyDescent="0.2">
      <c r="B1533" s="48">
        <f t="shared" si="267"/>
        <v>66</v>
      </c>
      <c r="C1533" s="81"/>
      <c r="D1533" s="81"/>
      <c r="E1533" s="81"/>
      <c r="F1533" s="12"/>
      <c r="G1533" s="12"/>
      <c r="H1533" s="13" t="s">
        <v>366</v>
      </c>
      <c r="I1533" s="83">
        <v>25000</v>
      </c>
      <c r="J1533" s="83"/>
      <c r="K1533" s="83">
        <f t="shared" si="262"/>
        <v>25000</v>
      </c>
      <c r="L1533" s="83"/>
      <c r="M1533" s="83"/>
      <c r="N1533" s="83"/>
      <c r="O1533" s="83">
        <f t="shared" si="263"/>
        <v>0</v>
      </c>
      <c r="P1533" s="84"/>
      <c r="Q1533" s="85">
        <f t="shared" si="264"/>
        <v>25000</v>
      </c>
      <c r="R1533" s="85">
        <f t="shared" si="265"/>
        <v>0</v>
      </c>
      <c r="S1533" s="85">
        <f t="shared" si="266"/>
        <v>25000</v>
      </c>
    </row>
    <row r="1534" spans="2:19" ht="15" x14ac:dyDescent="0.2">
      <c r="B1534" s="48">
        <f t="shared" si="267"/>
        <v>67</v>
      </c>
      <c r="C1534" s="51">
        <v>5</v>
      </c>
      <c r="D1534" s="435" t="s">
        <v>43</v>
      </c>
      <c r="E1534" s="436"/>
      <c r="F1534" s="436"/>
      <c r="G1534" s="436"/>
      <c r="H1534" s="436"/>
      <c r="I1534" s="52">
        <f>I1535</f>
        <v>47215</v>
      </c>
      <c r="J1534" s="52">
        <f>J1535</f>
        <v>0</v>
      </c>
      <c r="K1534" s="52">
        <f t="shared" si="262"/>
        <v>47215</v>
      </c>
      <c r="L1534" s="53"/>
      <c r="M1534" s="52"/>
      <c r="N1534" s="52"/>
      <c r="O1534" s="52">
        <f t="shared" si="263"/>
        <v>0</v>
      </c>
      <c r="P1534" s="54"/>
      <c r="Q1534" s="72">
        <f t="shared" si="264"/>
        <v>47215</v>
      </c>
      <c r="R1534" s="72">
        <f t="shared" si="265"/>
        <v>0</v>
      </c>
      <c r="S1534" s="72">
        <f t="shared" si="266"/>
        <v>47215</v>
      </c>
    </row>
    <row r="1535" spans="2:19" ht="15" x14ac:dyDescent="0.25">
      <c r="B1535" s="48">
        <f t="shared" si="267"/>
        <v>68</v>
      </c>
      <c r="C1535" s="166"/>
      <c r="D1535" s="166"/>
      <c r="E1535" s="166">
        <v>2</v>
      </c>
      <c r="F1535" s="167"/>
      <c r="G1535" s="167"/>
      <c r="H1535" s="166" t="s">
        <v>11</v>
      </c>
      <c r="I1535" s="168">
        <f>I1536</f>
        <v>47215</v>
      </c>
      <c r="J1535" s="168">
        <f>J1536</f>
        <v>0</v>
      </c>
      <c r="K1535" s="168">
        <f t="shared" si="262"/>
        <v>47215</v>
      </c>
      <c r="L1535" s="58"/>
      <c r="M1535" s="168"/>
      <c r="N1535" s="168"/>
      <c r="O1535" s="168">
        <f t="shared" si="263"/>
        <v>0</v>
      </c>
      <c r="P1535" s="59"/>
      <c r="Q1535" s="169">
        <f t="shared" si="264"/>
        <v>47215</v>
      </c>
      <c r="R1535" s="169">
        <f t="shared" si="265"/>
        <v>0</v>
      </c>
      <c r="S1535" s="169">
        <f t="shared" si="266"/>
        <v>47215</v>
      </c>
    </row>
    <row r="1536" spans="2:19" x14ac:dyDescent="0.2">
      <c r="B1536" s="48">
        <f t="shared" si="267"/>
        <v>69</v>
      </c>
      <c r="C1536" s="9"/>
      <c r="D1536" s="9"/>
      <c r="E1536" s="9"/>
      <c r="F1536" s="61" t="s">
        <v>193</v>
      </c>
      <c r="G1536" s="8">
        <v>630</v>
      </c>
      <c r="H1536" s="9" t="s">
        <v>122</v>
      </c>
      <c r="I1536" s="62">
        <f>I1540+I1539+I1538+I1537</f>
        <v>47215</v>
      </c>
      <c r="J1536" s="62">
        <f>J1540+J1539+J1538+J1537</f>
        <v>0</v>
      </c>
      <c r="K1536" s="62">
        <f t="shared" si="262"/>
        <v>47215</v>
      </c>
      <c r="L1536" s="62"/>
      <c r="M1536" s="62"/>
      <c r="N1536" s="62"/>
      <c r="O1536" s="62">
        <f t="shared" si="263"/>
        <v>0</v>
      </c>
      <c r="P1536" s="63"/>
      <c r="Q1536" s="64">
        <f t="shared" ref="Q1536:Q1558" si="277">I1536+M1536</f>
        <v>47215</v>
      </c>
      <c r="R1536" s="64">
        <f t="shared" ref="R1536:R1558" si="278">J1536+N1536</f>
        <v>0</v>
      </c>
      <c r="S1536" s="64">
        <f t="shared" ref="S1536:S1558" si="279">K1536+O1536</f>
        <v>47215</v>
      </c>
    </row>
    <row r="1537" spans="2:19" x14ac:dyDescent="0.2">
      <c r="B1537" s="48">
        <f t="shared" si="267"/>
        <v>70</v>
      </c>
      <c r="C1537" s="11"/>
      <c r="D1537" s="11"/>
      <c r="E1537" s="11"/>
      <c r="F1537" s="65"/>
      <c r="G1537" s="10">
        <v>632</v>
      </c>
      <c r="H1537" s="11" t="s">
        <v>135</v>
      </c>
      <c r="I1537" s="66">
        <f>3000+8500</f>
        <v>11500</v>
      </c>
      <c r="J1537" s="66"/>
      <c r="K1537" s="66">
        <f t="shared" si="262"/>
        <v>11500</v>
      </c>
      <c r="L1537" s="66"/>
      <c r="M1537" s="66"/>
      <c r="N1537" s="66"/>
      <c r="O1537" s="66">
        <f t="shared" si="263"/>
        <v>0</v>
      </c>
      <c r="P1537" s="67"/>
      <c r="Q1537" s="68">
        <f t="shared" si="277"/>
        <v>11500</v>
      </c>
      <c r="R1537" s="68">
        <f t="shared" si="278"/>
        <v>0</v>
      </c>
      <c r="S1537" s="68">
        <f t="shared" si="279"/>
        <v>11500</v>
      </c>
    </row>
    <row r="1538" spans="2:19" x14ac:dyDescent="0.2">
      <c r="B1538" s="48">
        <f t="shared" si="267"/>
        <v>71</v>
      </c>
      <c r="C1538" s="11"/>
      <c r="D1538" s="11"/>
      <c r="E1538" s="11"/>
      <c r="F1538" s="65"/>
      <c r="G1538" s="10">
        <v>633</v>
      </c>
      <c r="H1538" s="11" t="s">
        <v>126</v>
      </c>
      <c r="I1538" s="66">
        <f>4000+8000</f>
        <v>12000</v>
      </c>
      <c r="J1538" s="66"/>
      <c r="K1538" s="66">
        <f t="shared" si="262"/>
        <v>12000</v>
      </c>
      <c r="L1538" s="66"/>
      <c r="M1538" s="66"/>
      <c r="N1538" s="66"/>
      <c r="O1538" s="66">
        <f t="shared" si="263"/>
        <v>0</v>
      </c>
      <c r="P1538" s="67"/>
      <c r="Q1538" s="68">
        <f t="shared" si="277"/>
        <v>12000</v>
      </c>
      <c r="R1538" s="68">
        <f t="shared" si="278"/>
        <v>0</v>
      </c>
      <c r="S1538" s="68">
        <f t="shared" si="279"/>
        <v>12000</v>
      </c>
    </row>
    <row r="1539" spans="2:19" x14ac:dyDescent="0.2">
      <c r="B1539" s="48">
        <f t="shared" ref="B1539:B1558" si="280">B1538+1</f>
        <v>72</v>
      </c>
      <c r="C1539" s="11"/>
      <c r="D1539" s="11"/>
      <c r="E1539" s="11"/>
      <c r="F1539" s="65"/>
      <c r="G1539" s="10">
        <v>635</v>
      </c>
      <c r="H1539" s="11" t="s">
        <v>134</v>
      </c>
      <c r="I1539" s="66">
        <f>22000-2485</f>
        <v>19515</v>
      </c>
      <c r="J1539" s="66"/>
      <c r="K1539" s="66">
        <f t="shared" ref="K1539:K1558" si="281">I1539+J1539</f>
        <v>19515</v>
      </c>
      <c r="L1539" s="66"/>
      <c r="M1539" s="66"/>
      <c r="N1539" s="66"/>
      <c r="O1539" s="66">
        <f t="shared" ref="O1539:O1558" si="282">M1539+N1539</f>
        <v>0</v>
      </c>
      <c r="P1539" s="67"/>
      <c r="Q1539" s="68">
        <f t="shared" si="277"/>
        <v>19515</v>
      </c>
      <c r="R1539" s="68">
        <f t="shared" si="278"/>
        <v>0</v>
      </c>
      <c r="S1539" s="68">
        <f t="shared" si="279"/>
        <v>19515</v>
      </c>
    </row>
    <row r="1540" spans="2:19" x14ac:dyDescent="0.2">
      <c r="B1540" s="48">
        <f t="shared" si="280"/>
        <v>73</v>
      </c>
      <c r="C1540" s="11"/>
      <c r="D1540" s="11"/>
      <c r="E1540" s="11"/>
      <c r="F1540" s="65"/>
      <c r="G1540" s="10">
        <v>637</v>
      </c>
      <c r="H1540" s="11" t="s">
        <v>123</v>
      </c>
      <c r="I1540" s="66">
        <f>4000+200</f>
        <v>4200</v>
      </c>
      <c r="J1540" s="66"/>
      <c r="K1540" s="66">
        <f t="shared" si="281"/>
        <v>4200</v>
      </c>
      <c r="L1540" s="66"/>
      <c r="M1540" s="66"/>
      <c r="N1540" s="66"/>
      <c r="O1540" s="66">
        <f t="shared" si="282"/>
        <v>0</v>
      </c>
      <c r="P1540" s="67"/>
      <c r="Q1540" s="68">
        <f t="shared" si="277"/>
        <v>4200</v>
      </c>
      <c r="R1540" s="68">
        <f t="shared" si="278"/>
        <v>0</v>
      </c>
      <c r="S1540" s="68">
        <f t="shared" si="279"/>
        <v>4200</v>
      </c>
    </row>
    <row r="1541" spans="2:19" ht="15" x14ac:dyDescent="0.2">
      <c r="B1541" s="48">
        <f t="shared" si="280"/>
        <v>74</v>
      </c>
      <c r="C1541" s="51">
        <v>6</v>
      </c>
      <c r="D1541" s="435" t="s">
        <v>57</v>
      </c>
      <c r="E1541" s="436"/>
      <c r="F1541" s="436"/>
      <c r="G1541" s="436"/>
      <c r="H1541" s="436"/>
      <c r="I1541" s="52">
        <f>I1542</f>
        <v>521550</v>
      </c>
      <c r="J1541" s="52">
        <f>J1542</f>
        <v>0</v>
      </c>
      <c r="K1541" s="52">
        <f t="shared" si="281"/>
        <v>521550</v>
      </c>
      <c r="L1541" s="53"/>
      <c r="M1541" s="52">
        <f>M1542</f>
        <v>254000</v>
      </c>
      <c r="N1541" s="52">
        <f>N1542</f>
        <v>1300</v>
      </c>
      <c r="O1541" s="52">
        <f t="shared" si="282"/>
        <v>255300</v>
      </c>
      <c r="P1541" s="54"/>
      <c r="Q1541" s="72">
        <f t="shared" si="277"/>
        <v>775550</v>
      </c>
      <c r="R1541" s="72">
        <f t="shared" si="278"/>
        <v>1300</v>
      </c>
      <c r="S1541" s="72">
        <f t="shared" si="279"/>
        <v>776850</v>
      </c>
    </row>
    <row r="1542" spans="2:19" ht="15" x14ac:dyDescent="0.25">
      <c r="B1542" s="48">
        <f t="shared" si="280"/>
        <v>75</v>
      </c>
      <c r="C1542" s="166"/>
      <c r="D1542" s="166"/>
      <c r="E1542" s="166">
        <v>2</v>
      </c>
      <c r="F1542" s="167"/>
      <c r="G1542" s="167"/>
      <c r="H1542" s="166" t="s">
        <v>11</v>
      </c>
      <c r="I1542" s="168">
        <f>I1543+I1544+I1545+I1552</f>
        <v>521550</v>
      </c>
      <c r="J1542" s="168">
        <f>J1543+J1544+J1545+J1552</f>
        <v>0</v>
      </c>
      <c r="K1542" s="168">
        <f t="shared" si="281"/>
        <v>521550</v>
      </c>
      <c r="L1542" s="58"/>
      <c r="M1542" s="168">
        <f>M1553</f>
        <v>254000</v>
      </c>
      <c r="N1542" s="168">
        <f>N1553</f>
        <v>1300</v>
      </c>
      <c r="O1542" s="168">
        <f t="shared" si="282"/>
        <v>255300</v>
      </c>
      <c r="P1542" s="59"/>
      <c r="Q1542" s="169">
        <f t="shared" si="277"/>
        <v>775550</v>
      </c>
      <c r="R1542" s="169">
        <f t="shared" si="278"/>
        <v>1300</v>
      </c>
      <c r="S1542" s="169">
        <f t="shared" si="279"/>
        <v>776850</v>
      </c>
    </row>
    <row r="1543" spans="2:19" x14ac:dyDescent="0.2">
      <c r="B1543" s="48">
        <f t="shared" si="280"/>
        <v>76</v>
      </c>
      <c r="C1543" s="9"/>
      <c r="D1543" s="9"/>
      <c r="E1543" s="9"/>
      <c r="F1543" s="61" t="s">
        <v>193</v>
      </c>
      <c r="G1543" s="8">
        <v>610</v>
      </c>
      <c r="H1543" s="9" t="s">
        <v>132</v>
      </c>
      <c r="I1543" s="62">
        <v>293500</v>
      </c>
      <c r="J1543" s="62"/>
      <c r="K1543" s="62">
        <f t="shared" si="281"/>
        <v>293500</v>
      </c>
      <c r="L1543" s="62"/>
      <c r="M1543" s="62"/>
      <c r="N1543" s="62"/>
      <c r="O1543" s="62">
        <f t="shared" si="282"/>
        <v>0</v>
      </c>
      <c r="P1543" s="63"/>
      <c r="Q1543" s="64">
        <f t="shared" si="277"/>
        <v>293500</v>
      </c>
      <c r="R1543" s="64">
        <f t="shared" si="278"/>
        <v>0</v>
      </c>
      <c r="S1543" s="64">
        <f t="shared" si="279"/>
        <v>293500</v>
      </c>
    </row>
    <row r="1544" spans="2:19" x14ac:dyDescent="0.2">
      <c r="B1544" s="48">
        <f t="shared" si="280"/>
        <v>77</v>
      </c>
      <c r="C1544" s="9"/>
      <c r="D1544" s="9"/>
      <c r="E1544" s="9"/>
      <c r="F1544" s="61" t="s">
        <v>193</v>
      </c>
      <c r="G1544" s="8">
        <v>620</v>
      </c>
      <c r="H1544" s="9" t="s">
        <v>125</v>
      </c>
      <c r="I1544" s="62">
        <v>110500</v>
      </c>
      <c r="J1544" s="62"/>
      <c r="K1544" s="62">
        <f t="shared" si="281"/>
        <v>110500</v>
      </c>
      <c r="L1544" s="62"/>
      <c r="M1544" s="62"/>
      <c r="N1544" s="62"/>
      <c r="O1544" s="62">
        <f t="shared" si="282"/>
        <v>0</v>
      </c>
      <c r="P1544" s="63"/>
      <c r="Q1544" s="64">
        <f t="shared" si="277"/>
        <v>110500</v>
      </c>
      <c r="R1544" s="64">
        <f t="shared" si="278"/>
        <v>0</v>
      </c>
      <c r="S1544" s="64">
        <f t="shared" si="279"/>
        <v>110500</v>
      </c>
    </row>
    <row r="1545" spans="2:19" x14ac:dyDescent="0.2">
      <c r="B1545" s="48">
        <f t="shared" si="280"/>
        <v>78</v>
      </c>
      <c r="C1545" s="9"/>
      <c r="D1545" s="9"/>
      <c r="E1545" s="9"/>
      <c r="F1545" s="61" t="s">
        <v>193</v>
      </c>
      <c r="G1545" s="8">
        <v>630</v>
      </c>
      <c r="H1545" s="9" t="s">
        <v>122</v>
      </c>
      <c r="I1545" s="62">
        <f>I1551+I1550+I1549+I1548+I1547+I1546</f>
        <v>102050</v>
      </c>
      <c r="J1545" s="62">
        <f>J1551+J1550+J1549+J1548+J1547+J1546</f>
        <v>0</v>
      </c>
      <c r="K1545" s="62">
        <f t="shared" si="281"/>
        <v>102050</v>
      </c>
      <c r="L1545" s="62"/>
      <c r="M1545" s="62"/>
      <c r="N1545" s="62"/>
      <c r="O1545" s="62">
        <f t="shared" si="282"/>
        <v>0</v>
      </c>
      <c r="P1545" s="63"/>
      <c r="Q1545" s="64">
        <f t="shared" si="277"/>
        <v>102050</v>
      </c>
      <c r="R1545" s="64">
        <f t="shared" si="278"/>
        <v>0</v>
      </c>
      <c r="S1545" s="64">
        <f t="shared" si="279"/>
        <v>102050</v>
      </c>
    </row>
    <row r="1546" spans="2:19" x14ac:dyDescent="0.2">
      <c r="B1546" s="48">
        <f t="shared" si="280"/>
        <v>79</v>
      </c>
      <c r="C1546" s="11"/>
      <c r="D1546" s="11"/>
      <c r="E1546" s="11"/>
      <c r="F1546" s="65"/>
      <c r="G1546" s="10">
        <v>631</v>
      </c>
      <c r="H1546" s="11" t="s">
        <v>128</v>
      </c>
      <c r="I1546" s="66">
        <f>800+200</f>
        <v>1000</v>
      </c>
      <c r="J1546" s="66"/>
      <c r="K1546" s="66">
        <f t="shared" si="281"/>
        <v>1000</v>
      </c>
      <c r="L1546" s="66"/>
      <c r="M1546" s="66"/>
      <c r="N1546" s="66"/>
      <c r="O1546" s="66">
        <f t="shared" si="282"/>
        <v>0</v>
      </c>
      <c r="P1546" s="67"/>
      <c r="Q1546" s="68">
        <f t="shared" si="277"/>
        <v>1000</v>
      </c>
      <c r="R1546" s="68">
        <f t="shared" si="278"/>
        <v>0</v>
      </c>
      <c r="S1546" s="68">
        <f t="shared" si="279"/>
        <v>1000</v>
      </c>
    </row>
    <row r="1547" spans="2:19" x14ac:dyDescent="0.2">
      <c r="B1547" s="48">
        <f t="shared" si="280"/>
        <v>80</v>
      </c>
      <c r="C1547" s="11"/>
      <c r="D1547" s="11"/>
      <c r="E1547" s="11"/>
      <c r="F1547" s="65"/>
      <c r="G1547" s="10">
        <v>632</v>
      </c>
      <c r="H1547" s="11" t="s">
        <v>135</v>
      </c>
      <c r="I1547" s="66">
        <v>8500</v>
      </c>
      <c r="J1547" s="66"/>
      <c r="K1547" s="66">
        <f t="shared" si="281"/>
        <v>8500</v>
      </c>
      <c r="L1547" s="66"/>
      <c r="M1547" s="66"/>
      <c r="N1547" s="66"/>
      <c r="O1547" s="66">
        <f t="shared" si="282"/>
        <v>0</v>
      </c>
      <c r="P1547" s="67"/>
      <c r="Q1547" s="68">
        <f t="shared" si="277"/>
        <v>8500</v>
      </c>
      <c r="R1547" s="68">
        <f t="shared" si="278"/>
        <v>0</v>
      </c>
      <c r="S1547" s="68">
        <f t="shared" si="279"/>
        <v>8500</v>
      </c>
    </row>
    <row r="1548" spans="2:19" x14ac:dyDescent="0.2">
      <c r="B1548" s="48">
        <f t="shared" si="280"/>
        <v>81</v>
      </c>
      <c r="C1548" s="11"/>
      <c r="D1548" s="11"/>
      <c r="E1548" s="11"/>
      <c r="F1548" s="65"/>
      <c r="G1548" s="10">
        <v>633</v>
      </c>
      <c r="H1548" s="11" t="s">
        <v>126</v>
      </c>
      <c r="I1548" s="66">
        <v>15000</v>
      </c>
      <c r="J1548" s="66"/>
      <c r="K1548" s="66">
        <f t="shared" si="281"/>
        <v>15000</v>
      </c>
      <c r="L1548" s="66"/>
      <c r="M1548" s="66"/>
      <c r="N1548" s="66"/>
      <c r="O1548" s="66">
        <f t="shared" si="282"/>
        <v>0</v>
      </c>
      <c r="P1548" s="67"/>
      <c r="Q1548" s="68">
        <f t="shared" si="277"/>
        <v>15000</v>
      </c>
      <c r="R1548" s="68">
        <f t="shared" si="278"/>
        <v>0</v>
      </c>
      <c r="S1548" s="68">
        <f t="shared" si="279"/>
        <v>15000</v>
      </c>
    </row>
    <row r="1549" spans="2:19" x14ac:dyDescent="0.2">
      <c r="B1549" s="48">
        <f t="shared" si="280"/>
        <v>82</v>
      </c>
      <c r="C1549" s="11"/>
      <c r="D1549" s="11"/>
      <c r="E1549" s="11"/>
      <c r="F1549" s="65"/>
      <c r="G1549" s="10">
        <v>634</v>
      </c>
      <c r="H1549" s="11" t="s">
        <v>133</v>
      </c>
      <c r="I1549" s="66">
        <f>7500+7000+4500+250</f>
        <v>19250</v>
      </c>
      <c r="J1549" s="66"/>
      <c r="K1549" s="66">
        <f t="shared" si="281"/>
        <v>19250</v>
      </c>
      <c r="L1549" s="66"/>
      <c r="M1549" s="66"/>
      <c r="N1549" s="66"/>
      <c r="O1549" s="66">
        <f t="shared" si="282"/>
        <v>0</v>
      </c>
      <c r="P1549" s="67"/>
      <c r="Q1549" s="68">
        <f t="shared" si="277"/>
        <v>19250</v>
      </c>
      <c r="R1549" s="68">
        <f t="shared" si="278"/>
        <v>0</v>
      </c>
      <c r="S1549" s="68">
        <f t="shared" si="279"/>
        <v>19250</v>
      </c>
    </row>
    <row r="1550" spans="2:19" x14ac:dyDescent="0.2">
      <c r="B1550" s="48">
        <f t="shared" si="280"/>
        <v>83</v>
      </c>
      <c r="C1550" s="11"/>
      <c r="D1550" s="11"/>
      <c r="E1550" s="11"/>
      <c r="F1550" s="65"/>
      <c r="G1550" s="10">
        <v>635</v>
      </c>
      <c r="H1550" s="11" t="s">
        <v>134</v>
      </c>
      <c r="I1550" s="66">
        <v>3300</v>
      </c>
      <c r="J1550" s="66"/>
      <c r="K1550" s="66">
        <f t="shared" si="281"/>
        <v>3300</v>
      </c>
      <c r="L1550" s="66"/>
      <c r="M1550" s="66"/>
      <c r="N1550" s="66"/>
      <c r="O1550" s="66">
        <f t="shared" si="282"/>
        <v>0</v>
      </c>
      <c r="P1550" s="67"/>
      <c r="Q1550" s="68">
        <f t="shared" si="277"/>
        <v>3300</v>
      </c>
      <c r="R1550" s="68">
        <f t="shared" si="278"/>
        <v>0</v>
      </c>
      <c r="S1550" s="68">
        <f t="shared" si="279"/>
        <v>3300</v>
      </c>
    </row>
    <row r="1551" spans="2:19" x14ac:dyDescent="0.2">
      <c r="B1551" s="48">
        <f t="shared" si="280"/>
        <v>84</v>
      </c>
      <c r="C1551" s="11"/>
      <c r="D1551" s="11"/>
      <c r="E1551" s="11"/>
      <c r="F1551" s="65"/>
      <c r="G1551" s="10">
        <v>637</v>
      </c>
      <c r="H1551" s="11" t="s">
        <v>123</v>
      </c>
      <c r="I1551" s="66">
        <v>55000</v>
      </c>
      <c r="J1551" s="66"/>
      <c r="K1551" s="66">
        <f t="shared" si="281"/>
        <v>55000</v>
      </c>
      <c r="L1551" s="66"/>
      <c r="M1551" s="66"/>
      <c r="N1551" s="66"/>
      <c r="O1551" s="66">
        <f t="shared" si="282"/>
        <v>0</v>
      </c>
      <c r="P1551" s="67"/>
      <c r="Q1551" s="68">
        <f t="shared" si="277"/>
        <v>55000</v>
      </c>
      <c r="R1551" s="68">
        <f t="shared" si="278"/>
        <v>0</v>
      </c>
      <c r="S1551" s="68">
        <f t="shared" si="279"/>
        <v>55000</v>
      </c>
    </row>
    <row r="1552" spans="2:19" x14ac:dyDescent="0.2">
      <c r="B1552" s="48">
        <f t="shared" si="280"/>
        <v>85</v>
      </c>
      <c r="C1552" s="9"/>
      <c r="D1552" s="9"/>
      <c r="E1552" s="9"/>
      <c r="F1552" s="61" t="s">
        <v>193</v>
      </c>
      <c r="G1552" s="8">
        <v>640</v>
      </c>
      <c r="H1552" s="9" t="s">
        <v>130</v>
      </c>
      <c r="I1552" s="62">
        <f>14000+1500</f>
        <v>15500</v>
      </c>
      <c r="J1552" s="62"/>
      <c r="K1552" s="62">
        <f t="shared" si="281"/>
        <v>15500</v>
      </c>
      <c r="L1552" s="62"/>
      <c r="M1552" s="62"/>
      <c r="N1552" s="62"/>
      <c r="O1552" s="62">
        <f t="shared" si="282"/>
        <v>0</v>
      </c>
      <c r="P1552" s="63"/>
      <c r="Q1552" s="64">
        <f t="shared" si="277"/>
        <v>15500</v>
      </c>
      <c r="R1552" s="64">
        <f t="shared" si="278"/>
        <v>0</v>
      </c>
      <c r="S1552" s="64">
        <f t="shared" si="279"/>
        <v>15500</v>
      </c>
    </row>
    <row r="1553" spans="2:19" x14ac:dyDescent="0.2">
      <c r="B1553" s="48">
        <f t="shared" si="280"/>
        <v>86</v>
      </c>
      <c r="C1553" s="9"/>
      <c r="D1553" s="9"/>
      <c r="E1553" s="9"/>
      <c r="F1553" s="61" t="s">
        <v>193</v>
      </c>
      <c r="G1553" s="8">
        <v>710</v>
      </c>
      <c r="H1553" s="9" t="s">
        <v>176</v>
      </c>
      <c r="I1553" s="62"/>
      <c r="J1553" s="62"/>
      <c r="K1553" s="62">
        <f t="shared" si="281"/>
        <v>0</v>
      </c>
      <c r="L1553" s="62"/>
      <c r="M1553" s="62">
        <f>M1554+M1557</f>
        <v>254000</v>
      </c>
      <c r="N1553" s="62">
        <f>N1554+N1557</f>
        <v>1300</v>
      </c>
      <c r="O1553" s="62">
        <f t="shared" si="282"/>
        <v>255300</v>
      </c>
      <c r="P1553" s="63"/>
      <c r="Q1553" s="64">
        <f t="shared" si="277"/>
        <v>254000</v>
      </c>
      <c r="R1553" s="64">
        <f t="shared" si="278"/>
        <v>1300</v>
      </c>
      <c r="S1553" s="64">
        <f t="shared" si="279"/>
        <v>255300</v>
      </c>
    </row>
    <row r="1554" spans="2:19" x14ac:dyDescent="0.2">
      <c r="B1554" s="48">
        <f t="shared" si="280"/>
        <v>87</v>
      </c>
      <c r="C1554" s="287"/>
      <c r="D1554" s="287"/>
      <c r="E1554" s="287"/>
      <c r="F1554" s="286"/>
      <c r="G1554" s="10">
        <v>717</v>
      </c>
      <c r="H1554" s="11" t="s">
        <v>183</v>
      </c>
      <c r="I1554" s="66"/>
      <c r="J1554" s="66"/>
      <c r="K1554" s="66">
        <f t="shared" si="281"/>
        <v>0</v>
      </c>
      <c r="L1554" s="66"/>
      <c r="M1554" s="66">
        <f>M1555+M1556</f>
        <v>235000</v>
      </c>
      <c r="N1554" s="66">
        <f>N1555+N1556</f>
        <v>1300</v>
      </c>
      <c r="O1554" s="66">
        <f t="shared" si="282"/>
        <v>236300</v>
      </c>
      <c r="P1554" s="67"/>
      <c r="Q1554" s="68">
        <f t="shared" si="277"/>
        <v>235000</v>
      </c>
      <c r="R1554" s="68">
        <f t="shared" si="278"/>
        <v>1300</v>
      </c>
      <c r="S1554" s="68">
        <f t="shared" si="279"/>
        <v>236300</v>
      </c>
    </row>
    <row r="1555" spans="2:19" s="164" customFormat="1" x14ac:dyDescent="0.2">
      <c r="B1555" s="48">
        <f t="shared" si="280"/>
        <v>88</v>
      </c>
      <c r="C1555" s="287"/>
      <c r="D1555" s="287"/>
      <c r="E1555" s="287"/>
      <c r="F1555" s="286"/>
      <c r="G1555" s="12"/>
      <c r="H1555" s="13" t="s">
        <v>513</v>
      </c>
      <c r="I1555" s="83"/>
      <c r="J1555" s="83"/>
      <c r="K1555" s="83">
        <f t="shared" si="281"/>
        <v>0</v>
      </c>
      <c r="L1555" s="83"/>
      <c r="M1555" s="83">
        <v>10000</v>
      </c>
      <c r="N1555" s="83">
        <v>1300</v>
      </c>
      <c r="O1555" s="83">
        <f t="shared" si="282"/>
        <v>11300</v>
      </c>
      <c r="P1555" s="84"/>
      <c r="Q1555" s="85">
        <f t="shared" si="277"/>
        <v>10000</v>
      </c>
      <c r="R1555" s="85">
        <f t="shared" si="278"/>
        <v>1300</v>
      </c>
      <c r="S1555" s="85">
        <f t="shared" si="279"/>
        <v>11300</v>
      </c>
    </row>
    <row r="1556" spans="2:19" x14ac:dyDescent="0.2">
      <c r="B1556" s="48">
        <f t="shared" si="280"/>
        <v>89</v>
      </c>
      <c r="C1556" s="287"/>
      <c r="D1556" s="287"/>
      <c r="E1556" s="287"/>
      <c r="F1556" s="286"/>
      <c r="G1556" s="288"/>
      <c r="H1556" s="289" t="s">
        <v>430</v>
      </c>
      <c r="I1556" s="223"/>
      <c r="J1556" s="223"/>
      <c r="K1556" s="223">
        <f t="shared" si="281"/>
        <v>0</v>
      </c>
      <c r="L1556" s="223"/>
      <c r="M1556" s="223">
        <v>225000</v>
      </c>
      <c r="N1556" s="223"/>
      <c r="O1556" s="223">
        <f t="shared" si="282"/>
        <v>225000</v>
      </c>
      <c r="P1556" s="228"/>
      <c r="Q1556" s="85">
        <f t="shared" si="277"/>
        <v>225000</v>
      </c>
      <c r="R1556" s="85">
        <f t="shared" si="278"/>
        <v>0</v>
      </c>
      <c r="S1556" s="85">
        <f t="shared" si="279"/>
        <v>225000</v>
      </c>
    </row>
    <row r="1557" spans="2:19" x14ac:dyDescent="0.2">
      <c r="B1557" s="48">
        <f t="shared" si="280"/>
        <v>90</v>
      </c>
      <c r="C1557" s="205"/>
      <c r="D1557" s="205"/>
      <c r="E1557" s="205"/>
      <c r="F1557" s="206"/>
      <c r="G1557" s="290">
        <v>718</v>
      </c>
      <c r="H1557" s="291" t="s">
        <v>81</v>
      </c>
      <c r="I1557" s="225"/>
      <c r="J1557" s="225"/>
      <c r="K1557" s="225">
        <f t="shared" si="281"/>
        <v>0</v>
      </c>
      <c r="L1557" s="225"/>
      <c r="M1557" s="225">
        <f>M1558</f>
        <v>19000</v>
      </c>
      <c r="N1557" s="225">
        <f>N1558</f>
        <v>0</v>
      </c>
      <c r="O1557" s="225">
        <f t="shared" si="282"/>
        <v>19000</v>
      </c>
      <c r="P1557" s="292"/>
      <c r="Q1557" s="293">
        <f t="shared" si="277"/>
        <v>19000</v>
      </c>
      <c r="R1557" s="293">
        <f t="shared" si="278"/>
        <v>0</v>
      </c>
      <c r="S1557" s="293">
        <f t="shared" si="279"/>
        <v>19000</v>
      </c>
    </row>
    <row r="1558" spans="2:19" x14ac:dyDescent="0.2">
      <c r="B1558" s="48">
        <f t="shared" si="280"/>
        <v>91</v>
      </c>
      <c r="C1558" s="294"/>
      <c r="D1558" s="294"/>
      <c r="E1558" s="294"/>
      <c r="F1558" s="295"/>
      <c r="G1558" s="296"/>
      <c r="H1558" s="294" t="s">
        <v>507</v>
      </c>
      <c r="I1558" s="297"/>
      <c r="J1558" s="297"/>
      <c r="K1558" s="297">
        <f t="shared" si="281"/>
        <v>0</v>
      </c>
      <c r="L1558" s="297"/>
      <c r="M1558" s="297">
        <v>19000</v>
      </c>
      <c r="N1558" s="297"/>
      <c r="O1558" s="297">
        <f t="shared" si="282"/>
        <v>19000</v>
      </c>
      <c r="P1558" s="298"/>
      <c r="Q1558" s="299">
        <f t="shared" si="277"/>
        <v>19000</v>
      </c>
      <c r="R1558" s="299">
        <f t="shared" si="278"/>
        <v>0</v>
      </c>
      <c r="S1558" s="299">
        <f t="shared" si="279"/>
        <v>19000</v>
      </c>
    </row>
    <row r="1559" spans="2:19" x14ac:dyDescent="0.2">
      <c r="B1559" s="1"/>
      <c r="F1559" s="1"/>
      <c r="G1559" s="1"/>
      <c r="I1559" s="1"/>
      <c r="J1559" s="1"/>
      <c r="K1559" s="1"/>
      <c r="L1559" s="1"/>
      <c r="M1559" s="1"/>
      <c r="N1559" s="1"/>
      <c r="O1559" s="1"/>
      <c r="P1559" s="1"/>
      <c r="Q1559" s="1"/>
    </row>
    <row r="1560" spans="2:19" x14ac:dyDescent="0.2">
      <c r="B1560" s="1"/>
      <c r="F1560" s="1"/>
      <c r="G1560" s="1"/>
      <c r="I1560" s="1"/>
      <c r="J1560" s="1"/>
      <c r="K1560" s="1"/>
      <c r="L1560" s="1"/>
      <c r="M1560" s="1"/>
      <c r="N1560" s="1"/>
      <c r="O1560" s="1"/>
      <c r="P1560" s="1"/>
      <c r="Q1560" s="1"/>
    </row>
    <row r="1561" spans="2:19" ht="27.75" x14ac:dyDescent="0.4">
      <c r="B1561" s="429" t="s">
        <v>23</v>
      </c>
      <c r="C1561" s="430"/>
      <c r="D1561" s="430"/>
      <c r="E1561" s="430"/>
      <c r="F1561" s="430"/>
      <c r="G1561" s="430"/>
      <c r="H1561" s="430"/>
      <c r="I1561" s="430"/>
      <c r="J1561" s="430"/>
      <c r="K1561" s="430"/>
      <c r="L1561" s="430"/>
      <c r="M1561" s="430"/>
      <c r="N1561" s="430"/>
      <c r="O1561" s="430"/>
      <c r="P1561" s="430"/>
      <c r="Q1561" s="430"/>
    </row>
    <row r="1562" spans="2:19" ht="12.75" customHeight="1" x14ac:dyDescent="0.2">
      <c r="B1562" s="459" t="s">
        <v>422</v>
      </c>
      <c r="C1562" s="459"/>
      <c r="D1562" s="459"/>
      <c r="E1562" s="459"/>
      <c r="F1562" s="459"/>
      <c r="G1562" s="459"/>
      <c r="H1562" s="459"/>
      <c r="I1562" s="459"/>
      <c r="J1562" s="459"/>
      <c r="K1562" s="459"/>
      <c r="L1562" s="459"/>
      <c r="M1562" s="459"/>
      <c r="N1562" s="459"/>
      <c r="O1562" s="459"/>
      <c r="P1562" s="390"/>
      <c r="Q1562" s="408" t="s">
        <v>595</v>
      </c>
      <c r="R1562" s="408" t="s">
        <v>591</v>
      </c>
      <c r="S1562" s="408" t="s">
        <v>566</v>
      </c>
    </row>
    <row r="1563" spans="2:19" ht="12.75" customHeight="1" x14ac:dyDescent="0.2">
      <c r="B1563" s="458"/>
      <c r="C1563" s="437" t="s">
        <v>115</v>
      </c>
      <c r="D1563" s="437" t="s">
        <v>116</v>
      </c>
      <c r="E1563" s="452"/>
      <c r="F1563" s="437" t="s">
        <v>117</v>
      </c>
      <c r="G1563" s="443" t="s">
        <v>118</v>
      </c>
      <c r="H1563" s="449" t="s">
        <v>119</v>
      </c>
      <c r="I1563" s="408" t="s">
        <v>593</v>
      </c>
      <c r="J1563" s="408" t="s">
        <v>591</v>
      </c>
      <c r="K1563" s="408" t="s">
        <v>566</v>
      </c>
      <c r="L1563" s="391"/>
      <c r="M1563" s="408" t="s">
        <v>594</v>
      </c>
      <c r="N1563" s="408" t="s">
        <v>591</v>
      </c>
      <c r="O1563" s="408" t="s">
        <v>566</v>
      </c>
      <c r="P1563" s="391"/>
      <c r="Q1563" s="408"/>
      <c r="R1563" s="408"/>
      <c r="S1563" s="408"/>
    </row>
    <row r="1564" spans="2:19" x14ac:dyDescent="0.2">
      <c r="B1564" s="458"/>
      <c r="C1564" s="437"/>
      <c r="D1564" s="437"/>
      <c r="E1564" s="452"/>
      <c r="F1564" s="437"/>
      <c r="G1564" s="443"/>
      <c r="H1564" s="449"/>
      <c r="I1564" s="408"/>
      <c r="J1564" s="408"/>
      <c r="K1564" s="408"/>
      <c r="L1564" s="391"/>
      <c r="M1564" s="408"/>
      <c r="N1564" s="408"/>
      <c r="O1564" s="408"/>
      <c r="P1564" s="391"/>
      <c r="Q1564" s="408"/>
      <c r="R1564" s="408"/>
      <c r="S1564" s="408"/>
    </row>
    <row r="1565" spans="2:19" x14ac:dyDescent="0.2">
      <c r="B1565" s="458"/>
      <c r="C1565" s="437"/>
      <c r="D1565" s="437"/>
      <c r="E1565" s="452"/>
      <c r="F1565" s="437"/>
      <c r="G1565" s="443"/>
      <c r="H1565" s="449"/>
      <c r="I1565" s="408"/>
      <c r="J1565" s="408"/>
      <c r="K1565" s="408"/>
      <c r="L1565" s="391"/>
      <c r="M1565" s="408"/>
      <c r="N1565" s="408"/>
      <c r="O1565" s="408"/>
      <c r="P1565" s="391"/>
      <c r="Q1565" s="408"/>
      <c r="R1565" s="408"/>
      <c r="S1565" s="408"/>
    </row>
    <row r="1566" spans="2:19" x14ac:dyDescent="0.2">
      <c r="B1566" s="458"/>
      <c r="C1566" s="437"/>
      <c r="D1566" s="437"/>
      <c r="E1566" s="452"/>
      <c r="F1566" s="437"/>
      <c r="G1566" s="443"/>
      <c r="H1566" s="449"/>
      <c r="I1566" s="408"/>
      <c r="J1566" s="408"/>
      <c r="K1566" s="408"/>
      <c r="L1566" s="391"/>
      <c r="M1566" s="408"/>
      <c r="N1566" s="408"/>
      <c r="O1566" s="408"/>
      <c r="P1566" s="391"/>
      <c r="Q1566" s="408"/>
      <c r="R1566" s="408"/>
      <c r="S1566" s="408"/>
    </row>
    <row r="1567" spans="2:19" ht="15.75" x14ac:dyDescent="0.2">
      <c r="B1567" s="48">
        <v>1</v>
      </c>
      <c r="C1567" s="453" t="s">
        <v>23</v>
      </c>
      <c r="D1567" s="454"/>
      <c r="E1567" s="454"/>
      <c r="F1567" s="454"/>
      <c r="G1567" s="454"/>
      <c r="H1567" s="454"/>
      <c r="I1567" s="49">
        <f>I1568+I1590+I1594+I1608+I1635+I1667+I1689+I1700+I1703+I1708+I1723+I1735</f>
        <v>6537150</v>
      </c>
      <c r="J1567" s="49">
        <f>J1568+J1590+J1594+J1608+J1635+J1667+J1689+J1700+J1703+J1708+J1723+J1735</f>
        <v>4850</v>
      </c>
      <c r="K1567" s="49">
        <f>I1567+J1567</f>
        <v>6542000</v>
      </c>
      <c r="L1567" s="394"/>
      <c r="M1567" s="49">
        <f>M1568+M1590+M1594+M1608+M1635+M1667+M1689+M1700+M1703+M1708+M1723</f>
        <v>1497510</v>
      </c>
      <c r="N1567" s="49">
        <f>N1568+N1590+N1594+N1608+N1635+N1667+N1689+N1700+N1703+N1708+N1723</f>
        <v>129000</v>
      </c>
      <c r="O1567" s="49">
        <f>M1567+N1567</f>
        <v>1626510</v>
      </c>
      <c r="P1567" s="392"/>
      <c r="Q1567" s="50">
        <f t="shared" ref="Q1567:S1570" si="283">I1567+M1567</f>
        <v>8034660</v>
      </c>
      <c r="R1567" s="50">
        <f t="shared" si="283"/>
        <v>133850</v>
      </c>
      <c r="S1567" s="50">
        <f t="shared" si="283"/>
        <v>8168510</v>
      </c>
    </row>
    <row r="1568" spans="2:19" ht="15" x14ac:dyDescent="0.2">
      <c r="B1568" s="48">
        <f t="shared" ref="B1568:B1599" si="284">B1567+1</f>
        <v>2</v>
      </c>
      <c r="C1568" s="51">
        <v>1</v>
      </c>
      <c r="D1568" s="435" t="s">
        <v>367</v>
      </c>
      <c r="E1568" s="436"/>
      <c r="F1568" s="436"/>
      <c r="G1568" s="436"/>
      <c r="H1568" s="436"/>
      <c r="I1568" s="52">
        <f>I1569+I1582</f>
        <v>314530</v>
      </c>
      <c r="J1568" s="52">
        <f>J1569+J1582</f>
        <v>0</v>
      </c>
      <c r="K1568" s="52">
        <f t="shared" ref="K1568:K1631" si="285">I1568+J1568</f>
        <v>314530</v>
      </c>
      <c r="L1568" s="53"/>
      <c r="M1568" s="52">
        <f>M1569+M1582</f>
        <v>950800</v>
      </c>
      <c r="N1568" s="52">
        <f>N1569+N1582</f>
        <v>0</v>
      </c>
      <c r="O1568" s="52">
        <f t="shared" ref="O1568:O1631" si="286">M1568+N1568</f>
        <v>950800</v>
      </c>
      <c r="P1568" s="54"/>
      <c r="Q1568" s="72">
        <f t="shared" si="283"/>
        <v>1265330</v>
      </c>
      <c r="R1568" s="72">
        <f t="shared" si="283"/>
        <v>0</v>
      </c>
      <c r="S1568" s="72">
        <f t="shared" si="283"/>
        <v>1265330</v>
      </c>
    </row>
    <row r="1569" spans="2:19" ht="15" x14ac:dyDescent="0.25">
      <c r="B1569" s="48">
        <f t="shared" si="284"/>
        <v>3</v>
      </c>
      <c r="C1569" s="69"/>
      <c r="D1569" s="69">
        <v>1</v>
      </c>
      <c r="E1569" s="433" t="s">
        <v>71</v>
      </c>
      <c r="F1569" s="434"/>
      <c r="G1569" s="434"/>
      <c r="H1569" s="434"/>
      <c r="I1569" s="70">
        <f>I1573</f>
        <v>290900</v>
      </c>
      <c r="J1569" s="70">
        <f>J1573</f>
        <v>0</v>
      </c>
      <c r="K1569" s="70">
        <f t="shared" si="285"/>
        <v>290900</v>
      </c>
      <c r="L1569" s="58"/>
      <c r="M1569" s="70">
        <f>M1570+M1573</f>
        <v>950800</v>
      </c>
      <c r="N1569" s="70">
        <f>N1570+N1573</f>
        <v>0</v>
      </c>
      <c r="O1569" s="70">
        <f t="shared" si="286"/>
        <v>950800</v>
      </c>
      <c r="P1569" s="59"/>
      <c r="Q1569" s="71">
        <f t="shared" si="283"/>
        <v>1241700</v>
      </c>
      <c r="R1569" s="71">
        <f t="shared" si="283"/>
        <v>0</v>
      </c>
      <c r="S1569" s="71">
        <f t="shared" si="283"/>
        <v>1241700</v>
      </c>
    </row>
    <row r="1570" spans="2:19" x14ac:dyDescent="0.2">
      <c r="B1570" s="48">
        <f t="shared" si="284"/>
        <v>4</v>
      </c>
      <c r="C1570" s="9"/>
      <c r="D1570" s="9"/>
      <c r="E1570" s="9"/>
      <c r="F1570" s="61" t="s">
        <v>74</v>
      </c>
      <c r="G1570" s="8">
        <v>710</v>
      </c>
      <c r="H1570" s="9" t="s">
        <v>176</v>
      </c>
      <c r="I1570" s="62"/>
      <c r="J1570" s="62"/>
      <c r="K1570" s="62">
        <f t="shared" si="285"/>
        <v>0</v>
      </c>
      <c r="L1570" s="62"/>
      <c r="M1570" s="62">
        <f>M1571</f>
        <v>950800</v>
      </c>
      <c r="N1570" s="62">
        <f>N1571</f>
        <v>0</v>
      </c>
      <c r="O1570" s="62">
        <f t="shared" si="286"/>
        <v>950800</v>
      </c>
      <c r="P1570" s="63"/>
      <c r="Q1570" s="64">
        <f t="shared" si="283"/>
        <v>950800</v>
      </c>
      <c r="R1570" s="64">
        <f t="shared" si="283"/>
        <v>0</v>
      </c>
      <c r="S1570" s="64">
        <f t="shared" si="283"/>
        <v>950800</v>
      </c>
    </row>
    <row r="1571" spans="2:19" x14ac:dyDescent="0.2">
      <c r="B1571" s="48">
        <f t="shared" si="284"/>
        <v>5</v>
      </c>
      <c r="C1571" s="11"/>
      <c r="D1571" s="11"/>
      <c r="E1571" s="11"/>
      <c r="F1571" s="65"/>
      <c r="G1571" s="10">
        <v>717</v>
      </c>
      <c r="H1571" s="11" t="s">
        <v>183</v>
      </c>
      <c r="I1571" s="66"/>
      <c r="J1571" s="66"/>
      <c r="K1571" s="66">
        <f t="shared" si="285"/>
        <v>0</v>
      </c>
      <c r="L1571" s="66"/>
      <c r="M1571" s="66">
        <f>M1572</f>
        <v>950800</v>
      </c>
      <c r="N1571" s="66">
        <f>N1572</f>
        <v>0</v>
      </c>
      <c r="O1571" s="66">
        <f t="shared" si="286"/>
        <v>950800</v>
      </c>
      <c r="P1571" s="67"/>
      <c r="Q1571" s="68">
        <f t="shared" ref="Q1571:S1572" si="287">M1571</f>
        <v>950800</v>
      </c>
      <c r="R1571" s="68">
        <f t="shared" si="287"/>
        <v>0</v>
      </c>
      <c r="S1571" s="68">
        <f t="shared" si="287"/>
        <v>950800</v>
      </c>
    </row>
    <row r="1572" spans="2:19" x14ac:dyDescent="0.2">
      <c r="B1572" s="48">
        <f t="shared" si="284"/>
        <v>6</v>
      </c>
      <c r="C1572" s="11"/>
      <c r="D1572" s="11"/>
      <c r="E1572" s="11"/>
      <c r="F1572" s="65"/>
      <c r="G1572" s="10"/>
      <c r="H1572" s="13" t="s">
        <v>500</v>
      </c>
      <c r="I1572" s="66"/>
      <c r="J1572" s="66"/>
      <c r="K1572" s="66">
        <f t="shared" si="285"/>
        <v>0</v>
      </c>
      <c r="L1572" s="66"/>
      <c r="M1572" s="83">
        <v>950800</v>
      </c>
      <c r="N1572" s="83"/>
      <c r="O1572" s="83">
        <f t="shared" si="286"/>
        <v>950800</v>
      </c>
      <c r="P1572" s="67"/>
      <c r="Q1572" s="68">
        <f t="shared" si="287"/>
        <v>950800</v>
      </c>
      <c r="R1572" s="68">
        <f t="shared" si="287"/>
        <v>0</v>
      </c>
      <c r="S1572" s="68">
        <f t="shared" si="287"/>
        <v>950800</v>
      </c>
    </row>
    <row r="1573" spans="2:19" ht="15" x14ac:dyDescent="0.25">
      <c r="B1573" s="48">
        <f t="shared" si="284"/>
        <v>7</v>
      </c>
      <c r="C1573" s="166"/>
      <c r="D1573" s="166"/>
      <c r="E1573" s="166">
        <v>5</v>
      </c>
      <c r="F1573" s="167"/>
      <c r="G1573" s="167"/>
      <c r="H1573" s="166" t="s">
        <v>107</v>
      </c>
      <c r="I1573" s="168">
        <f>I1574+I1575+I1576+I1581</f>
        <v>290900</v>
      </c>
      <c r="J1573" s="168">
        <f>J1574+J1575+J1576+J1581</f>
        <v>0</v>
      </c>
      <c r="K1573" s="168">
        <f t="shared" si="285"/>
        <v>290900</v>
      </c>
      <c r="L1573" s="58"/>
      <c r="M1573" s="168"/>
      <c r="N1573" s="168"/>
      <c r="O1573" s="168">
        <f t="shared" si="286"/>
        <v>0</v>
      </c>
      <c r="P1573" s="59"/>
      <c r="Q1573" s="169">
        <f t="shared" ref="Q1573:Q1604" si="288">I1573+M1573</f>
        <v>290900</v>
      </c>
      <c r="R1573" s="169">
        <f t="shared" ref="R1573:R1604" si="289">J1573+N1573</f>
        <v>0</v>
      </c>
      <c r="S1573" s="169">
        <f t="shared" ref="S1573:S1604" si="290">K1573+O1573</f>
        <v>290900</v>
      </c>
    </row>
    <row r="1574" spans="2:19" x14ac:dyDescent="0.2">
      <c r="B1574" s="48">
        <f t="shared" si="284"/>
        <v>8</v>
      </c>
      <c r="C1574" s="9"/>
      <c r="D1574" s="9"/>
      <c r="E1574" s="9"/>
      <c r="F1574" s="61" t="s">
        <v>76</v>
      </c>
      <c r="G1574" s="8">
        <v>610</v>
      </c>
      <c r="H1574" s="9" t="s">
        <v>132</v>
      </c>
      <c r="I1574" s="62">
        <v>145625</v>
      </c>
      <c r="J1574" s="62"/>
      <c r="K1574" s="62">
        <f t="shared" si="285"/>
        <v>145625</v>
      </c>
      <c r="L1574" s="62"/>
      <c r="M1574" s="62"/>
      <c r="N1574" s="62"/>
      <c r="O1574" s="62">
        <f t="shared" si="286"/>
        <v>0</v>
      </c>
      <c r="P1574" s="63"/>
      <c r="Q1574" s="64">
        <f t="shared" si="288"/>
        <v>145625</v>
      </c>
      <c r="R1574" s="64">
        <f t="shared" si="289"/>
        <v>0</v>
      </c>
      <c r="S1574" s="64">
        <f t="shared" si="290"/>
        <v>145625</v>
      </c>
    </row>
    <row r="1575" spans="2:19" s="164" customFormat="1" x14ac:dyDescent="0.2">
      <c r="B1575" s="48">
        <f t="shared" si="284"/>
        <v>9</v>
      </c>
      <c r="C1575" s="9"/>
      <c r="D1575" s="9"/>
      <c r="E1575" s="9"/>
      <c r="F1575" s="61" t="s">
        <v>76</v>
      </c>
      <c r="G1575" s="8">
        <v>620</v>
      </c>
      <c r="H1575" s="9" t="s">
        <v>125</v>
      </c>
      <c r="I1575" s="62">
        <v>52955</v>
      </c>
      <c r="J1575" s="62"/>
      <c r="K1575" s="62">
        <f t="shared" si="285"/>
        <v>52955</v>
      </c>
      <c r="L1575" s="62"/>
      <c r="M1575" s="62"/>
      <c r="N1575" s="62"/>
      <c r="O1575" s="62">
        <f t="shared" si="286"/>
        <v>0</v>
      </c>
      <c r="P1575" s="63"/>
      <c r="Q1575" s="64">
        <f t="shared" si="288"/>
        <v>52955</v>
      </c>
      <c r="R1575" s="64">
        <f t="shared" si="289"/>
        <v>0</v>
      </c>
      <c r="S1575" s="64">
        <f t="shared" si="290"/>
        <v>52955</v>
      </c>
    </row>
    <row r="1576" spans="2:19" x14ac:dyDescent="0.2">
      <c r="B1576" s="48">
        <f t="shared" si="284"/>
        <v>10</v>
      </c>
      <c r="C1576" s="9"/>
      <c r="D1576" s="9"/>
      <c r="E1576" s="9"/>
      <c r="F1576" s="61" t="s">
        <v>76</v>
      </c>
      <c r="G1576" s="8">
        <v>630</v>
      </c>
      <c r="H1576" s="9" t="s">
        <v>122</v>
      </c>
      <c r="I1576" s="62">
        <f>I1580+I1579+I1578+I1577</f>
        <v>85320</v>
      </c>
      <c r="J1576" s="62">
        <f>J1580+J1579+J1578+J1577</f>
        <v>0</v>
      </c>
      <c r="K1576" s="62">
        <f t="shared" si="285"/>
        <v>85320</v>
      </c>
      <c r="L1576" s="62"/>
      <c r="M1576" s="62"/>
      <c r="N1576" s="62"/>
      <c r="O1576" s="62">
        <f t="shared" si="286"/>
        <v>0</v>
      </c>
      <c r="P1576" s="63"/>
      <c r="Q1576" s="64">
        <f t="shared" si="288"/>
        <v>85320</v>
      </c>
      <c r="R1576" s="64">
        <f t="shared" si="289"/>
        <v>0</v>
      </c>
      <c r="S1576" s="64">
        <f t="shared" si="290"/>
        <v>85320</v>
      </c>
    </row>
    <row r="1577" spans="2:19" x14ac:dyDescent="0.2">
      <c r="B1577" s="48">
        <f t="shared" si="284"/>
        <v>11</v>
      </c>
      <c r="C1577" s="11"/>
      <c r="D1577" s="11"/>
      <c r="E1577" s="11"/>
      <c r="F1577" s="65"/>
      <c r="G1577" s="10">
        <v>632</v>
      </c>
      <c r="H1577" s="11" t="s">
        <v>135</v>
      </c>
      <c r="I1577" s="66">
        <v>49500</v>
      </c>
      <c r="J1577" s="66"/>
      <c r="K1577" s="66">
        <f t="shared" si="285"/>
        <v>49500</v>
      </c>
      <c r="L1577" s="66"/>
      <c r="M1577" s="66"/>
      <c r="N1577" s="66"/>
      <c r="O1577" s="66">
        <f t="shared" si="286"/>
        <v>0</v>
      </c>
      <c r="P1577" s="67"/>
      <c r="Q1577" s="68">
        <f t="shared" si="288"/>
        <v>49500</v>
      </c>
      <c r="R1577" s="68">
        <f t="shared" si="289"/>
        <v>0</v>
      </c>
      <c r="S1577" s="68">
        <f t="shared" si="290"/>
        <v>49500</v>
      </c>
    </row>
    <row r="1578" spans="2:19" x14ac:dyDescent="0.2">
      <c r="B1578" s="48">
        <f t="shared" si="284"/>
        <v>12</v>
      </c>
      <c r="C1578" s="11"/>
      <c r="D1578" s="11"/>
      <c r="E1578" s="11"/>
      <c r="F1578" s="65"/>
      <c r="G1578" s="10">
        <v>633</v>
      </c>
      <c r="H1578" s="11" t="s">
        <v>126</v>
      </c>
      <c r="I1578" s="66">
        <v>23500</v>
      </c>
      <c r="J1578" s="66"/>
      <c r="K1578" s="66">
        <f t="shared" si="285"/>
        <v>23500</v>
      </c>
      <c r="L1578" s="66"/>
      <c r="M1578" s="66"/>
      <c r="N1578" s="66"/>
      <c r="O1578" s="66">
        <f t="shared" si="286"/>
        <v>0</v>
      </c>
      <c r="P1578" s="67"/>
      <c r="Q1578" s="68">
        <f t="shared" si="288"/>
        <v>23500</v>
      </c>
      <c r="R1578" s="68">
        <f t="shared" si="289"/>
        <v>0</v>
      </c>
      <c r="S1578" s="68">
        <f t="shared" si="290"/>
        <v>23500</v>
      </c>
    </row>
    <row r="1579" spans="2:19" x14ac:dyDescent="0.2">
      <c r="B1579" s="48">
        <f t="shared" si="284"/>
        <v>13</v>
      </c>
      <c r="C1579" s="11"/>
      <c r="D1579" s="11"/>
      <c r="E1579" s="11"/>
      <c r="F1579" s="65"/>
      <c r="G1579" s="10">
        <v>635</v>
      </c>
      <c r="H1579" s="11" t="s">
        <v>134</v>
      </c>
      <c r="I1579" s="66">
        <v>3100</v>
      </c>
      <c r="J1579" s="66"/>
      <c r="K1579" s="66">
        <f t="shared" si="285"/>
        <v>3100</v>
      </c>
      <c r="L1579" s="66"/>
      <c r="M1579" s="66"/>
      <c r="N1579" s="66"/>
      <c r="O1579" s="66">
        <f t="shared" si="286"/>
        <v>0</v>
      </c>
      <c r="P1579" s="67"/>
      <c r="Q1579" s="68">
        <f t="shared" si="288"/>
        <v>3100</v>
      </c>
      <c r="R1579" s="68">
        <f t="shared" si="289"/>
        <v>0</v>
      </c>
      <c r="S1579" s="68">
        <f t="shared" si="290"/>
        <v>3100</v>
      </c>
    </row>
    <row r="1580" spans="2:19" x14ac:dyDescent="0.2">
      <c r="B1580" s="48">
        <f t="shared" si="284"/>
        <v>14</v>
      </c>
      <c r="C1580" s="11"/>
      <c r="D1580" s="11"/>
      <c r="E1580" s="11"/>
      <c r="F1580" s="65"/>
      <c r="G1580" s="10">
        <v>637</v>
      </c>
      <c r="H1580" s="11" t="s">
        <v>123</v>
      </c>
      <c r="I1580" s="66">
        <v>9220</v>
      </c>
      <c r="J1580" s="66"/>
      <c r="K1580" s="66">
        <f t="shared" si="285"/>
        <v>9220</v>
      </c>
      <c r="L1580" s="66"/>
      <c r="M1580" s="66"/>
      <c r="N1580" s="66"/>
      <c r="O1580" s="66">
        <f t="shared" si="286"/>
        <v>0</v>
      </c>
      <c r="P1580" s="67"/>
      <c r="Q1580" s="68">
        <f t="shared" si="288"/>
        <v>9220</v>
      </c>
      <c r="R1580" s="68">
        <f t="shared" si="289"/>
        <v>0</v>
      </c>
      <c r="S1580" s="68">
        <f t="shared" si="290"/>
        <v>9220</v>
      </c>
    </row>
    <row r="1581" spans="2:19" x14ac:dyDescent="0.2">
      <c r="B1581" s="48">
        <f t="shared" si="284"/>
        <v>15</v>
      </c>
      <c r="C1581" s="9"/>
      <c r="D1581" s="9"/>
      <c r="E1581" s="9"/>
      <c r="F1581" s="61" t="s">
        <v>76</v>
      </c>
      <c r="G1581" s="8">
        <v>640</v>
      </c>
      <c r="H1581" s="9" t="s">
        <v>130</v>
      </c>
      <c r="I1581" s="62">
        <v>7000</v>
      </c>
      <c r="J1581" s="62"/>
      <c r="K1581" s="62">
        <f t="shared" si="285"/>
        <v>7000</v>
      </c>
      <c r="L1581" s="62"/>
      <c r="M1581" s="62"/>
      <c r="N1581" s="62"/>
      <c r="O1581" s="62">
        <f t="shared" si="286"/>
        <v>0</v>
      </c>
      <c r="P1581" s="63"/>
      <c r="Q1581" s="64">
        <f t="shared" si="288"/>
        <v>7000</v>
      </c>
      <c r="R1581" s="64">
        <f t="shared" si="289"/>
        <v>0</v>
      </c>
      <c r="S1581" s="64">
        <f t="shared" si="290"/>
        <v>7000</v>
      </c>
    </row>
    <row r="1582" spans="2:19" ht="15" x14ac:dyDescent="0.25">
      <c r="B1582" s="48">
        <f t="shared" si="284"/>
        <v>16</v>
      </c>
      <c r="C1582" s="69"/>
      <c r="D1582" s="69">
        <v>2</v>
      </c>
      <c r="E1582" s="433" t="s">
        <v>290</v>
      </c>
      <c r="F1582" s="434"/>
      <c r="G1582" s="434"/>
      <c r="H1582" s="434"/>
      <c r="I1582" s="70">
        <f>I1583</f>
        <v>23630</v>
      </c>
      <c r="J1582" s="70">
        <f>J1583</f>
        <v>0</v>
      </c>
      <c r="K1582" s="70">
        <f t="shared" si="285"/>
        <v>23630</v>
      </c>
      <c r="L1582" s="58"/>
      <c r="M1582" s="70"/>
      <c r="N1582" s="70"/>
      <c r="O1582" s="70">
        <f t="shared" si="286"/>
        <v>0</v>
      </c>
      <c r="P1582" s="59"/>
      <c r="Q1582" s="71">
        <f t="shared" si="288"/>
        <v>23630</v>
      </c>
      <c r="R1582" s="71">
        <f t="shared" si="289"/>
        <v>0</v>
      </c>
      <c r="S1582" s="71">
        <f t="shared" si="290"/>
        <v>23630</v>
      </c>
    </row>
    <row r="1583" spans="2:19" ht="15" x14ac:dyDescent="0.25">
      <c r="B1583" s="48">
        <f t="shared" si="284"/>
        <v>17</v>
      </c>
      <c r="C1583" s="166"/>
      <c r="D1583" s="166"/>
      <c r="E1583" s="166">
        <v>5</v>
      </c>
      <c r="F1583" s="167"/>
      <c r="G1583" s="167"/>
      <c r="H1583" s="166" t="s">
        <v>107</v>
      </c>
      <c r="I1583" s="168">
        <f>I1584+I1585+I1586+I1589</f>
        <v>23630</v>
      </c>
      <c r="J1583" s="168">
        <f>J1584+J1585+J1586+J1589</f>
        <v>0</v>
      </c>
      <c r="K1583" s="168">
        <f t="shared" si="285"/>
        <v>23630</v>
      </c>
      <c r="L1583" s="58"/>
      <c r="M1583" s="168"/>
      <c r="N1583" s="168"/>
      <c r="O1583" s="168">
        <f t="shared" si="286"/>
        <v>0</v>
      </c>
      <c r="P1583" s="59"/>
      <c r="Q1583" s="169">
        <f t="shared" si="288"/>
        <v>23630</v>
      </c>
      <c r="R1583" s="169">
        <f t="shared" si="289"/>
        <v>0</v>
      </c>
      <c r="S1583" s="169">
        <f t="shared" si="290"/>
        <v>23630</v>
      </c>
    </row>
    <row r="1584" spans="2:19" x14ac:dyDescent="0.2">
      <c r="B1584" s="48">
        <f t="shared" si="284"/>
        <v>18</v>
      </c>
      <c r="C1584" s="9"/>
      <c r="D1584" s="9"/>
      <c r="E1584" s="9"/>
      <c r="F1584" s="61" t="s">
        <v>76</v>
      </c>
      <c r="G1584" s="8">
        <v>610</v>
      </c>
      <c r="H1584" s="9" t="s">
        <v>132</v>
      </c>
      <c r="I1584" s="62">
        <f>12400+3486+100</f>
        <v>15986</v>
      </c>
      <c r="J1584" s="62"/>
      <c r="K1584" s="62">
        <f t="shared" si="285"/>
        <v>15986</v>
      </c>
      <c r="L1584" s="62"/>
      <c r="M1584" s="62"/>
      <c r="N1584" s="62"/>
      <c r="O1584" s="62">
        <f t="shared" si="286"/>
        <v>0</v>
      </c>
      <c r="P1584" s="63"/>
      <c r="Q1584" s="64">
        <f t="shared" si="288"/>
        <v>15986</v>
      </c>
      <c r="R1584" s="64">
        <f t="shared" si="289"/>
        <v>0</v>
      </c>
      <c r="S1584" s="64">
        <f t="shared" si="290"/>
        <v>15986</v>
      </c>
    </row>
    <row r="1585" spans="2:19" x14ac:dyDescent="0.2">
      <c r="B1585" s="48">
        <f t="shared" si="284"/>
        <v>19</v>
      </c>
      <c r="C1585" s="9"/>
      <c r="D1585" s="9"/>
      <c r="E1585" s="9"/>
      <c r="F1585" s="61" t="s">
        <v>76</v>
      </c>
      <c r="G1585" s="8">
        <v>620</v>
      </c>
      <c r="H1585" s="9" t="s">
        <v>125</v>
      </c>
      <c r="I1585" s="62">
        <f>1590+225+2250+130+480+160+755+480</f>
        <v>6070</v>
      </c>
      <c r="J1585" s="62"/>
      <c r="K1585" s="62">
        <f t="shared" si="285"/>
        <v>6070</v>
      </c>
      <c r="L1585" s="62"/>
      <c r="M1585" s="62"/>
      <c r="N1585" s="62"/>
      <c r="O1585" s="62">
        <f t="shared" si="286"/>
        <v>0</v>
      </c>
      <c r="P1585" s="63"/>
      <c r="Q1585" s="64">
        <f t="shared" si="288"/>
        <v>6070</v>
      </c>
      <c r="R1585" s="64">
        <f t="shared" si="289"/>
        <v>0</v>
      </c>
      <c r="S1585" s="64">
        <f t="shared" si="290"/>
        <v>6070</v>
      </c>
    </row>
    <row r="1586" spans="2:19" x14ac:dyDescent="0.2">
      <c r="B1586" s="48">
        <f t="shared" si="284"/>
        <v>20</v>
      </c>
      <c r="C1586" s="9"/>
      <c r="D1586" s="9"/>
      <c r="E1586" s="9"/>
      <c r="F1586" s="61" t="s">
        <v>76</v>
      </c>
      <c r="G1586" s="8">
        <v>630</v>
      </c>
      <c r="H1586" s="9" t="s">
        <v>122</v>
      </c>
      <c r="I1586" s="62">
        <f>I1588+I1587</f>
        <v>614</v>
      </c>
      <c r="J1586" s="62">
        <f>J1588+J1587</f>
        <v>0</v>
      </c>
      <c r="K1586" s="62">
        <f t="shared" si="285"/>
        <v>614</v>
      </c>
      <c r="L1586" s="62"/>
      <c r="M1586" s="62"/>
      <c r="N1586" s="62"/>
      <c r="O1586" s="62">
        <f t="shared" si="286"/>
        <v>0</v>
      </c>
      <c r="P1586" s="63"/>
      <c r="Q1586" s="64">
        <f t="shared" si="288"/>
        <v>614</v>
      </c>
      <c r="R1586" s="64">
        <f t="shared" si="289"/>
        <v>0</v>
      </c>
      <c r="S1586" s="64">
        <f t="shared" si="290"/>
        <v>614</v>
      </c>
    </row>
    <row r="1587" spans="2:19" x14ac:dyDescent="0.2">
      <c r="B1587" s="48">
        <f t="shared" si="284"/>
        <v>21</v>
      </c>
      <c r="C1587" s="11"/>
      <c r="D1587" s="11"/>
      <c r="E1587" s="11"/>
      <c r="F1587" s="65"/>
      <c r="G1587" s="10">
        <v>633</v>
      </c>
      <c r="H1587" s="11" t="s">
        <v>126</v>
      </c>
      <c r="I1587" s="66">
        <v>114</v>
      </c>
      <c r="J1587" s="66"/>
      <c r="K1587" s="66">
        <f t="shared" si="285"/>
        <v>114</v>
      </c>
      <c r="L1587" s="66"/>
      <c r="M1587" s="66"/>
      <c r="N1587" s="66"/>
      <c r="O1587" s="66">
        <f t="shared" si="286"/>
        <v>0</v>
      </c>
      <c r="P1587" s="67"/>
      <c r="Q1587" s="68">
        <f t="shared" si="288"/>
        <v>114</v>
      </c>
      <c r="R1587" s="68">
        <f t="shared" si="289"/>
        <v>0</v>
      </c>
      <c r="S1587" s="68">
        <f t="shared" si="290"/>
        <v>114</v>
      </c>
    </row>
    <row r="1588" spans="2:19" x14ac:dyDescent="0.2">
      <c r="B1588" s="48">
        <f t="shared" si="284"/>
        <v>22</v>
      </c>
      <c r="C1588" s="11"/>
      <c r="D1588" s="11"/>
      <c r="E1588" s="11"/>
      <c r="F1588" s="65"/>
      <c r="G1588" s="10">
        <v>637</v>
      </c>
      <c r="H1588" s="11" t="s">
        <v>123</v>
      </c>
      <c r="I1588" s="66">
        <v>500</v>
      </c>
      <c r="J1588" s="66"/>
      <c r="K1588" s="66">
        <f t="shared" si="285"/>
        <v>500</v>
      </c>
      <c r="L1588" s="66"/>
      <c r="M1588" s="66"/>
      <c r="N1588" s="66"/>
      <c r="O1588" s="66">
        <f t="shared" si="286"/>
        <v>0</v>
      </c>
      <c r="P1588" s="67"/>
      <c r="Q1588" s="68">
        <f t="shared" si="288"/>
        <v>500</v>
      </c>
      <c r="R1588" s="68">
        <f t="shared" si="289"/>
        <v>0</v>
      </c>
      <c r="S1588" s="68">
        <f t="shared" si="290"/>
        <v>500</v>
      </c>
    </row>
    <row r="1589" spans="2:19" x14ac:dyDescent="0.2">
      <c r="B1589" s="48">
        <f t="shared" si="284"/>
        <v>23</v>
      </c>
      <c r="C1589" s="9"/>
      <c r="D1589" s="9"/>
      <c r="E1589" s="9"/>
      <c r="F1589" s="61" t="s">
        <v>76</v>
      </c>
      <c r="G1589" s="8">
        <v>640</v>
      </c>
      <c r="H1589" s="9" t="s">
        <v>130</v>
      </c>
      <c r="I1589" s="62">
        <f>760+200</f>
        <v>960</v>
      </c>
      <c r="J1589" s="62"/>
      <c r="K1589" s="62">
        <f t="shared" si="285"/>
        <v>960</v>
      </c>
      <c r="L1589" s="62"/>
      <c r="M1589" s="62"/>
      <c r="N1589" s="62"/>
      <c r="O1589" s="62">
        <f t="shared" si="286"/>
        <v>0</v>
      </c>
      <c r="P1589" s="63"/>
      <c r="Q1589" s="64">
        <f t="shared" si="288"/>
        <v>960</v>
      </c>
      <c r="R1589" s="64">
        <f t="shared" si="289"/>
        <v>0</v>
      </c>
      <c r="S1589" s="64">
        <f t="shared" si="290"/>
        <v>960</v>
      </c>
    </row>
    <row r="1590" spans="2:19" ht="15" x14ac:dyDescent="0.2">
      <c r="B1590" s="48">
        <f t="shared" si="284"/>
        <v>24</v>
      </c>
      <c r="C1590" s="51">
        <v>2</v>
      </c>
      <c r="D1590" s="435" t="s">
        <v>54</v>
      </c>
      <c r="E1590" s="436"/>
      <c r="F1590" s="436"/>
      <c r="G1590" s="436"/>
      <c r="H1590" s="436"/>
      <c r="I1590" s="52">
        <f>I1591</f>
        <v>836900</v>
      </c>
      <c r="J1590" s="52">
        <f>J1591</f>
        <v>0</v>
      </c>
      <c r="K1590" s="52">
        <f t="shared" si="285"/>
        <v>836900</v>
      </c>
      <c r="L1590" s="53"/>
      <c r="M1590" s="52"/>
      <c r="N1590" s="52"/>
      <c r="O1590" s="52">
        <f t="shared" si="286"/>
        <v>0</v>
      </c>
      <c r="P1590" s="54"/>
      <c r="Q1590" s="72">
        <f t="shared" si="288"/>
        <v>836900</v>
      </c>
      <c r="R1590" s="72">
        <f t="shared" si="289"/>
        <v>0</v>
      </c>
      <c r="S1590" s="72">
        <f t="shared" si="290"/>
        <v>836900</v>
      </c>
    </row>
    <row r="1591" spans="2:19" x14ac:dyDescent="0.2">
      <c r="B1591" s="48">
        <f t="shared" si="284"/>
        <v>25</v>
      </c>
      <c r="C1591" s="9"/>
      <c r="D1591" s="9"/>
      <c r="E1591" s="9"/>
      <c r="F1591" s="61" t="s">
        <v>53</v>
      </c>
      <c r="G1591" s="8">
        <v>640</v>
      </c>
      <c r="H1591" s="9" t="s">
        <v>130</v>
      </c>
      <c r="I1591" s="62">
        <f>I1592+I1593</f>
        <v>836900</v>
      </c>
      <c r="J1591" s="62">
        <f>J1592+J1593</f>
        <v>0</v>
      </c>
      <c r="K1591" s="62">
        <f t="shared" si="285"/>
        <v>836900</v>
      </c>
      <c r="L1591" s="62"/>
      <c r="M1591" s="62"/>
      <c r="N1591" s="62"/>
      <c r="O1591" s="62">
        <f t="shared" si="286"/>
        <v>0</v>
      </c>
      <c r="P1591" s="63"/>
      <c r="Q1591" s="64">
        <f t="shared" si="288"/>
        <v>836900</v>
      </c>
      <c r="R1591" s="64">
        <f t="shared" si="289"/>
        <v>0</v>
      </c>
      <c r="S1591" s="64">
        <f t="shared" si="290"/>
        <v>836900</v>
      </c>
    </row>
    <row r="1592" spans="2:19" x14ac:dyDescent="0.2">
      <c r="B1592" s="48">
        <f t="shared" si="284"/>
        <v>26</v>
      </c>
      <c r="C1592" s="81"/>
      <c r="D1592" s="81"/>
      <c r="E1592" s="81"/>
      <c r="F1592" s="65"/>
      <c r="G1592" s="10">
        <v>642</v>
      </c>
      <c r="H1592" s="11" t="s">
        <v>131</v>
      </c>
      <c r="I1592" s="211">
        <v>1900</v>
      </c>
      <c r="J1592" s="211"/>
      <c r="K1592" s="211">
        <f t="shared" si="285"/>
        <v>1900</v>
      </c>
      <c r="L1592" s="211"/>
      <c r="M1592" s="211"/>
      <c r="N1592" s="211"/>
      <c r="O1592" s="211">
        <f t="shared" si="286"/>
        <v>0</v>
      </c>
      <c r="P1592" s="215"/>
      <c r="Q1592" s="216">
        <f t="shared" si="288"/>
        <v>1900</v>
      </c>
      <c r="R1592" s="216">
        <f t="shared" si="289"/>
        <v>0</v>
      </c>
      <c r="S1592" s="216">
        <f t="shared" si="290"/>
        <v>1900</v>
      </c>
    </row>
    <row r="1593" spans="2:19" x14ac:dyDescent="0.2">
      <c r="B1593" s="48">
        <f t="shared" si="284"/>
        <v>27</v>
      </c>
      <c r="C1593" s="81"/>
      <c r="D1593" s="81"/>
      <c r="E1593" s="81"/>
      <c r="F1593" s="65"/>
      <c r="G1593" s="10">
        <v>642</v>
      </c>
      <c r="H1593" s="11" t="s">
        <v>583</v>
      </c>
      <c r="I1593" s="211">
        <v>835000</v>
      </c>
      <c r="J1593" s="211"/>
      <c r="K1593" s="211">
        <f t="shared" si="285"/>
        <v>835000</v>
      </c>
      <c r="L1593" s="211"/>
      <c r="M1593" s="211"/>
      <c r="N1593" s="211"/>
      <c r="O1593" s="211">
        <f t="shared" si="286"/>
        <v>0</v>
      </c>
      <c r="P1593" s="215"/>
      <c r="Q1593" s="216">
        <f t="shared" si="288"/>
        <v>835000</v>
      </c>
      <c r="R1593" s="216">
        <f t="shared" si="289"/>
        <v>0</v>
      </c>
      <c r="S1593" s="216">
        <f t="shared" si="290"/>
        <v>835000</v>
      </c>
    </row>
    <row r="1594" spans="2:19" ht="15" x14ac:dyDescent="0.2">
      <c r="B1594" s="48">
        <f t="shared" si="284"/>
        <v>28</v>
      </c>
      <c r="C1594" s="51">
        <v>3</v>
      </c>
      <c r="D1594" s="435" t="s">
        <v>631</v>
      </c>
      <c r="E1594" s="436"/>
      <c r="F1594" s="436"/>
      <c r="G1594" s="436"/>
      <c r="H1594" s="436"/>
      <c r="I1594" s="52">
        <f>I1595+I1601+I1602+I1604</f>
        <v>172700</v>
      </c>
      <c r="J1594" s="52">
        <f>J1595+J1601+J1602+J1604</f>
        <v>0</v>
      </c>
      <c r="K1594" s="52">
        <f t="shared" si="285"/>
        <v>172700</v>
      </c>
      <c r="L1594" s="53"/>
      <c r="M1594" s="52"/>
      <c r="N1594" s="52"/>
      <c r="O1594" s="52">
        <f t="shared" si="286"/>
        <v>0</v>
      </c>
      <c r="P1594" s="54"/>
      <c r="Q1594" s="72">
        <f t="shared" si="288"/>
        <v>172700</v>
      </c>
      <c r="R1594" s="72">
        <f t="shared" si="289"/>
        <v>0</v>
      </c>
      <c r="S1594" s="72">
        <f t="shared" si="290"/>
        <v>172700</v>
      </c>
    </row>
    <row r="1595" spans="2:19" x14ac:dyDescent="0.2">
      <c r="B1595" s="48">
        <f t="shared" si="284"/>
        <v>29</v>
      </c>
      <c r="C1595" s="9"/>
      <c r="D1595" s="9"/>
      <c r="E1595" s="9"/>
      <c r="F1595" s="61" t="s">
        <v>62</v>
      </c>
      <c r="G1595" s="8">
        <v>640</v>
      </c>
      <c r="H1595" s="9" t="s">
        <v>130</v>
      </c>
      <c r="I1595" s="62">
        <f>SUM(I1596:I1600)</f>
        <v>90000</v>
      </c>
      <c r="J1595" s="62">
        <f>SUM(J1596:J1600)</f>
        <v>0</v>
      </c>
      <c r="K1595" s="62">
        <f t="shared" si="285"/>
        <v>90000</v>
      </c>
      <c r="L1595" s="62"/>
      <c r="M1595" s="62"/>
      <c r="N1595" s="62"/>
      <c r="O1595" s="62">
        <f t="shared" si="286"/>
        <v>0</v>
      </c>
      <c r="P1595" s="63"/>
      <c r="Q1595" s="64">
        <f t="shared" si="288"/>
        <v>90000</v>
      </c>
      <c r="R1595" s="64">
        <f t="shared" si="289"/>
        <v>0</v>
      </c>
      <c r="S1595" s="64">
        <f t="shared" si="290"/>
        <v>90000</v>
      </c>
    </row>
    <row r="1596" spans="2:19" x14ac:dyDescent="0.2">
      <c r="B1596" s="48">
        <f t="shared" si="284"/>
        <v>30</v>
      </c>
      <c r="C1596" s="73"/>
      <c r="D1596" s="73"/>
      <c r="E1596" s="73"/>
      <c r="F1596" s="212"/>
      <c r="G1596" s="212"/>
      <c r="H1596" s="75" t="s">
        <v>265</v>
      </c>
      <c r="I1596" s="76">
        <v>35000</v>
      </c>
      <c r="J1596" s="76"/>
      <c r="K1596" s="76">
        <f t="shared" si="285"/>
        <v>35000</v>
      </c>
      <c r="L1596" s="213"/>
      <c r="M1596" s="213"/>
      <c r="N1596" s="213"/>
      <c r="O1596" s="213">
        <f t="shared" si="286"/>
        <v>0</v>
      </c>
      <c r="P1596" s="77"/>
      <c r="Q1596" s="78">
        <f t="shared" si="288"/>
        <v>35000</v>
      </c>
      <c r="R1596" s="78">
        <f t="shared" si="289"/>
        <v>0</v>
      </c>
      <c r="S1596" s="78">
        <f t="shared" si="290"/>
        <v>35000</v>
      </c>
    </row>
    <row r="1597" spans="2:19" x14ac:dyDescent="0.2">
      <c r="B1597" s="48">
        <f t="shared" si="284"/>
        <v>31</v>
      </c>
      <c r="C1597" s="73"/>
      <c r="D1597" s="73"/>
      <c r="E1597" s="73"/>
      <c r="F1597" s="212"/>
      <c r="G1597" s="212"/>
      <c r="H1597" s="75" t="s">
        <v>390</v>
      </c>
      <c r="I1597" s="76">
        <v>22000</v>
      </c>
      <c r="J1597" s="76"/>
      <c r="K1597" s="76">
        <f t="shared" si="285"/>
        <v>22000</v>
      </c>
      <c r="L1597" s="213"/>
      <c r="M1597" s="213"/>
      <c r="N1597" s="213"/>
      <c r="O1597" s="213">
        <f t="shared" si="286"/>
        <v>0</v>
      </c>
      <c r="P1597" s="77"/>
      <c r="Q1597" s="78">
        <f t="shared" si="288"/>
        <v>22000</v>
      </c>
      <c r="R1597" s="78">
        <f t="shared" si="289"/>
        <v>0</v>
      </c>
      <c r="S1597" s="78">
        <f t="shared" si="290"/>
        <v>22000</v>
      </c>
    </row>
    <row r="1598" spans="2:19" x14ac:dyDescent="0.2">
      <c r="B1598" s="48">
        <f t="shared" si="284"/>
        <v>32</v>
      </c>
      <c r="C1598" s="73"/>
      <c r="D1598" s="73"/>
      <c r="E1598" s="73"/>
      <c r="F1598" s="212"/>
      <c r="G1598" s="212"/>
      <c r="H1598" s="75" t="s">
        <v>391</v>
      </c>
      <c r="I1598" s="76">
        <v>20000</v>
      </c>
      <c r="J1598" s="76"/>
      <c r="K1598" s="76">
        <f t="shared" si="285"/>
        <v>20000</v>
      </c>
      <c r="L1598" s="213"/>
      <c r="M1598" s="213"/>
      <c r="N1598" s="213"/>
      <c r="O1598" s="213">
        <f t="shared" si="286"/>
        <v>0</v>
      </c>
      <c r="P1598" s="77"/>
      <c r="Q1598" s="78">
        <f t="shared" si="288"/>
        <v>20000</v>
      </c>
      <c r="R1598" s="78">
        <f t="shared" si="289"/>
        <v>0</v>
      </c>
      <c r="S1598" s="78">
        <f t="shared" si="290"/>
        <v>20000</v>
      </c>
    </row>
    <row r="1599" spans="2:19" ht="24" x14ac:dyDescent="0.2">
      <c r="B1599" s="48">
        <f t="shared" si="284"/>
        <v>33</v>
      </c>
      <c r="C1599" s="73"/>
      <c r="D1599" s="73"/>
      <c r="E1599" s="73"/>
      <c r="F1599" s="212"/>
      <c r="G1599" s="212"/>
      <c r="H1599" s="75" t="s">
        <v>292</v>
      </c>
      <c r="I1599" s="76">
        <v>4000</v>
      </c>
      <c r="J1599" s="76"/>
      <c r="K1599" s="76">
        <f t="shared" si="285"/>
        <v>4000</v>
      </c>
      <c r="L1599" s="213"/>
      <c r="M1599" s="213"/>
      <c r="N1599" s="213"/>
      <c r="O1599" s="213">
        <f t="shared" si="286"/>
        <v>0</v>
      </c>
      <c r="P1599" s="77"/>
      <c r="Q1599" s="78">
        <f t="shared" si="288"/>
        <v>4000</v>
      </c>
      <c r="R1599" s="78">
        <f t="shared" si="289"/>
        <v>0</v>
      </c>
      <c r="S1599" s="78">
        <f t="shared" si="290"/>
        <v>4000</v>
      </c>
    </row>
    <row r="1600" spans="2:19" ht="24" x14ac:dyDescent="0.2">
      <c r="B1600" s="48">
        <f t="shared" ref="B1600:B1631" si="291">B1599+1</f>
        <v>34</v>
      </c>
      <c r="C1600" s="73"/>
      <c r="D1600" s="73"/>
      <c r="E1600" s="73"/>
      <c r="F1600" s="212"/>
      <c r="G1600" s="212"/>
      <c r="H1600" s="75" t="s">
        <v>506</v>
      </c>
      <c r="I1600" s="76">
        <v>9000</v>
      </c>
      <c r="J1600" s="76"/>
      <c r="K1600" s="76">
        <f t="shared" si="285"/>
        <v>9000</v>
      </c>
      <c r="L1600" s="213"/>
      <c r="M1600" s="213"/>
      <c r="N1600" s="213"/>
      <c r="O1600" s="213">
        <f t="shared" si="286"/>
        <v>0</v>
      </c>
      <c r="P1600" s="77"/>
      <c r="Q1600" s="78">
        <f t="shared" si="288"/>
        <v>9000</v>
      </c>
      <c r="R1600" s="78">
        <f t="shared" si="289"/>
        <v>0</v>
      </c>
      <c r="S1600" s="78">
        <f t="shared" si="290"/>
        <v>9000</v>
      </c>
    </row>
    <row r="1601" spans="2:19" s="164" customFormat="1" x14ac:dyDescent="0.2">
      <c r="B1601" s="48">
        <f t="shared" si="291"/>
        <v>35</v>
      </c>
      <c r="C1601" s="81"/>
      <c r="D1601" s="81"/>
      <c r="E1601" s="81"/>
      <c r="F1601" s="61" t="s">
        <v>78</v>
      </c>
      <c r="G1601" s="8">
        <v>620</v>
      </c>
      <c r="H1601" s="9" t="s">
        <v>125</v>
      </c>
      <c r="I1601" s="62">
        <v>2000</v>
      </c>
      <c r="J1601" s="62"/>
      <c r="K1601" s="62">
        <f t="shared" si="285"/>
        <v>2000</v>
      </c>
      <c r="L1601" s="211"/>
      <c r="M1601" s="211"/>
      <c r="N1601" s="211"/>
      <c r="O1601" s="211">
        <f t="shared" si="286"/>
        <v>0</v>
      </c>
      <c r="P1601" s="215"/>
      <c r="Q1601" s="216">
        <f t="shared" si="288"/>
        <v>2000</v>
      </c>
      <c r="R1601" s="216">
        <f t="shared" si="289"/>
        <v>0</v>
      </c>
      <c r="S1601" s="216">
        <f t="shared" si="290"/>
        <v>2000</v>
      </c>
    </row>
    <row r="1602" spans="2:19" x14ac:dyDescent="0.2">
      <c r="B1602" s="48">
        <f t="shared" si="291"/>
        <v>36</v>
      </c>
      <c r="C1602" s="81"/>
      <c r="D1602" s="81"/>
      <c r="E1602" s="81"/>
      <c r="F1602" s="61" t="s">
        <v>78</v>
      </c>
      <c r="G1602" s="8">
        <v>630</v>
      </c>
      <c r="H1602" s="9" t="s">
        <v>122</v>
      </c>
      <c r="I1602" s="62">
        <f>I1603</f>
        <v>5000</v>
      </c>
      <c r="J1602" s="62">
        <f>J1603</f>
        <v>0</v>
      </c>
      <c r="K1602" s="62">
        <f t="shared" si="285"/>
        <v>5000</v>
      </c>
      <c r="L1602" s="211"/>
      <c r="M1602" s="211"/>
      <c r="N1602" s="211"/>
      <c r="O1602" s="211">
        <f t="shared" si="286"/>
        <v>0</v>
      </c>
      <c r="P1602" s="215"/>
      <c r="Q1602" s="216">
        <f t="shared" si="288"/>
        <v>5000</v>
      </c>
      <c r="R1602" s="216">
        <f t="shared" si="289"/>
        <v>0</v>
      </c>
      <c r="S1602" s="216">
        <f t="shared" si="290"/>
        <v>5000</v>
      </c>
    </row>
    <row r="1603" spans="2:19" x14ac:dyDescent="0.2">
      <c r="B1603" s="48">
        <f t="shared" si="291"/>
        <v>37</v>
      </c>
      <c r="C1603" s="81"/>
      <c r="D1603" s="81"/>
      <c r="E1603" s="81"/>
      <c r="F1603" s="12"/>
      <c r="G1603" s="10">
        <v>637</v>
      </c>
      <c r="H1603" s="11" t="s">
        <v>123</v>
      </c>
      <c r="I1603" s="211">
        <v>5000</v>
      </c>
      <c r="J1603" s="211"/>
      <c r="K1603" s="211">
        <f t="shared" si="285"/>
        <v>5000</v>
      </c>
      <c r="L1603" s="211"/>
      <c r="M1603" s="211"/>
      <c r="N1603" s="211"/>
      <c r="O1603" s="211">
        <f t="shared" si="286"/>
        <v>0</v>
      </c>
      <c r="P1603" s="215"/>
      <c r="Q1603" s="216">
        <f t="shared" si="288"/>
        <v>5000</v>
      </c>
      <c r="R1603" s="216">
        <f t="shared" si="289"/>
        <v>0</v>
      </c>
      <c r="S1603" s="216">
        <f t="shared" si="290"/>
        <v>5000</v>
      </c>
    </row>
    <row r="1604" spans="2:19" x14ac:dyDescent="0.2">
      <c r="B1604" s="48">
        <f t="shared" si="291"/>
        <v>38</v>
      </c>
      <c r="C1604" s="81"/>
      <c r="D1604" s="81"/>
      <c r="E1604" s="81"/>
      <c r="F1604" s="61" t="s">
        <v>78</v>
      </c>
      <c r="G1604" s="8">
        <v>640</v>
      </c>
      <c r="H1604" s="9" t="s">
        <v>130</v>
      </c>
      <c r="I1604" s="62">
        <f>I1605</f>
        <v>75700</v>
      </c>
      <c r="J1604" s="62">
        <f>J1605</f>
        <v>0</v>
      </c>
      <c r="K1604" s="62">
        <f t="shared" si="285"/>
        <v>75700</v>
      </c>
      <c r="L1604" s="211"/>
      <c r="M1604" s="211"/>
      <c r="N1604" s="211"/>
      <c r="O1604" s="211">
        <f t="shared" si="286"/>
        <v>0</v>
      </c>
      <c r="P1604" s="215"/>
      <c r="Q1604" s="216">
        <f t="shared" si="288"/>
        <v>75700</v>
      </c>
      <c r="R1604" s="216">
        <f t="shared" si="289"/>
        <v>0</v>
      </c>
      <c r="S1604" s="216">
        <f t="shared" si="290"/>
        <v>75700</v>
      </c>
    </row>
    <row r="1605" spans="2:19" x14ac:dyDescent="0.2">
      <c r="B1605" s="48">
        <f t="shared" si="291"/>
        <v>39</v>
      </c>
      <c r="C1605" s="81"/>
      <c r="D1605" s="81"/>
      <c r="E1605" s="81"/>
      <c r="F1605" s="12"/>
      <c r="G1605" s="10">
        <v>642</v>
      </c>
      <c r="H1605" s="11" t="s">
        <v>131</v>
      </c>
      <c r="I1605" s="83">
        <f>I1606+I1607</f>
        <v>75700</v>
      </c>
      <c r="J1605" s="83">
        <f>J1606+J1607</f>
        <v>0</v>
      </c>
      <c r="K1605" s="83">
        <f t="shared" si="285"/>
        <v>75700</v>
      </c>
      <c r="L1605" s="211"/>
      <c r="M1605" s="211"/>
      <c r="N1605" s="211"/>
      <c r="O1605" s="211">
        <f t="shared" si="286"/>
        <v>0</v>
      </c>
      <c r="P1605" s="215"/>
      <c r="Q1605" s="216">
        <f t="shared" ref="Q1605:Q1636" si="292">I1605+M1605</f>
        <v>75700</v>
      </c>
      <c r="R1605" s="216">
        <f t="shared" ref="R1605:R1636" si="293">J1605+N1605</f>
        <v>0</v>
      </c>
      <c r="S1605" s="216">
        <f t="shared" ref="S1605:S1636" si="294">K1605+O1605</f>
        <v>75700</v>
      </c>
    </row>
    <row r="1606" spans="2:19" x14ac:dyDescent="0.2">
      <c r="B1606" s="48">
        <f t="shared" si="291"/>
        <v>40</v>
      </c>
      <c r="C1606" s="81"/>
      <c r="D1606" s="81"/>
      <c r="E1606" s="81"/>
      <c r="F1606" s="12"/>
      <c r="G1606" s="12"/>
      <c r="H1606" s="13" t="s">
        <v>14</v>
      </c>
      <c r="I1606" s="83">
        <f>28000-2300</f>
        <v>25700</v>
      </c>
      <c r="J1606" s="83"/>
      <c r="K1606" s="83">
        <f t="shared" si="285"/>
        <v>25700</v>
      </c>
      <c r="L1606" s="211"/>
      <c r="M1606" s="211"/>
      <c r="N1606" s="211"/>
      <c r="O1606" s="211">
        <f t="shared" si="286"/>
        <v>0</v>
      </c>
      <c r="P1606" s="84"/>
      <c r="Q1606" s="85">
        <f t="shared" si="292"/>
        <v>25700</v>
      </c>
      <c r="R1606" s="85">
        <f t="shared" si="293"/>
        <v>0</v>
      </c>
      <c r="S1606" s="85">
        <f t="shared" si="294"/>
        <v>25700</v>
      </c>
    </row>
    <row r="1607" spans="2:19" x14ac:dyDescent="0.2">
      <c r="B1607" s="48">
        <f t="shared" si="291"/>
        <v>41</v>
      </c>
      <c r="C1607" s="81"/>
      <c r="D1607" s="81"/>
      <c r="E1607" s="81"/>
      <c r="F1607" s="12"/>
      <c r="G1607" s="12"/>
      <c r="H1607" s="13" t="s">
        <v>287</v>
      </c>
      <c r="I1607" s="83">
        <v>50000</v>
      </c>
      <c r="J1607" s="83"/>
      <c r="K1607" s="83">
        <f t="shared" si="285"/>
        <v>50000</v>
      </c>
      <c r="L1607" s="211"/>
      <c r="M1607" s="211"/>
      <c r="N1607" s="211"/>
      <c r="O1607" s="211">
        <f t="shared" si="286"/>
        <v>0</v>
      </c>
      <c r="P1607" s="84"/>
      <c r="Q1607" s="85">
        <f t="shared" si="292"/>
        <v>50000</v>
      </c>
      <c r="R1607" s="85">
        <f t="shared" si="293"/>
        <v>0</v>
      </c>
      <c r="S1607" s="85">
        <f t="shared" si="294"/>
        <v>50000</v>
      </c>
    </row>
    <row r="1608" spans="2:19" ht="15" x14ac:dyDescent="0.2">
      <c r="B1608" s="48">
        <f t="shared" si="291"/>
        <v>42</v>
      </c>
      <c r="C1608" s="51">
        <v>4</v>
      </c>
      <c r="D1608" s="435" t="s">
        <v>270</v>
      </c>
      <c r="E1608" s="436"/>
      <c r="F1608" s="436"/>
      <c r="G1608" s="436"/>
      <c r="H1608" s="436"/>
      <c r="I1608" s="52">
        <f>I1609+I1623+I1634</f>
        <v>172800</v>
      </c>
      <c r="J1608" s="52">
        <f>J1609+J1623+J1634</f>
        <v>2700</v>
      </c>
      <c r="K1608" s="52">
        <f t="shared" si="285"/>
        <v>175500</v>
      </c>
      <c r="L1608" s="53"/>
      <c r="M1608" s="52">
        <f>M1610</f>
        <v>6710</v>
      </c>
      <c r="N1608" s="52">
        <f>N1610</f>
        <v>0</v>
      </c>
      <c r="O1608" s="52">
        <f t="shared" si="286"/>
        <v>6710</v>
      </c>
      <c r="P1608" s="54"/>
      <c r="Q1608" s="72">
        <f t="shared" si="292"/>
        <v>179510</v>
      </c>
      <c r="R1608" s="72">
        <f t="shared" si="293"/>
        <v>2700</v>
      </c>
      <c r="S1608" s="72">
        <f t="shared" si="294"/>
        <v>182210</v>
      </c>
    </row>
    <row r="1609" spans="2:19" ht="15" x14ac:dyDescent="0.25">
      <c r="B1609" s="48">
        <f t="shared" si="291"/>
        <v>43</v>
      </c>
      <c r="C1609" s="69"/>
      <c r="D1609" s="69">
        <v>1</v>
      </c>
      <c r="E1609" s="433" t="s">
        <v>56</v>
      </c>
      <c r="F1609" s="434"/>
      <c r="G1609" s="434"/>
      <c r="H1609" s="434"/>
      <c r="I1609" s="70">
        <f>I1610</f>
        <v>83620</v>
      </c>
      <c r="J1609" s="70">
        <f>J1610</f>
        <v>2700</v>
      </c>
      <c r="K1609" s="70">
        <f t="shared" si="285"/>
        <v>86320</v>
      </c>
      <c r="L1609" s="58"/>
      <c r="M1609" s="70"/>
      <c r="N1609" s="70"/>
      <c r="O1609" s="70">
        <f t="shared" si="286"/>
        <v>0</v>
      </c>
      <c r="P1609" s="59"/>
      <c r="Q1609" s="71">
        <f t="shared" si="292"/>
        <v>83620</v>
      </c>
      <c r="R1609" s="71">
        <f t="shared" si="293"/>
        <v>2700</v>
      </c>
      <c r="S1609" s="71">
        <f t="shared" si="294"/>
        <v>86320</v>
      </c>
    </row>
    <row r="1610" spans="2:19" ht="15" x14ac:dyDescent="0.25">
      <c r="B1610" s="48">
        <f t="shared" si="291"/>
        <v>44</v>
      </c>
      <c r="C1610" s="166"/>
      <c r="D1610" s="166"/>
      <c r="E1610" s="166">
        <v>5</v>
      </c>
      <c r="F1610" s="167"/>
      <c r="G1610" s="167"/>
      <c r="H1610" s="166" t="s">
        <v>107</v>
      </c>
      <c r="I1610" s="168">
        <f>I1611+I1612+I1613+I1619</f>
        <v>83620</v>
      </c>
      <c r="J1610" s="168">
        <f>J1611+J1612+J1613+J1619</f>
        <v>2700</v>
      </c>
      <c r="K1610" s="168">
        <f t="shared" si="285"/>
        <v>86320</v>
      </c>
      <c r="L1610" s="58"/>
      <c r="M1610" s="168">
        <f>M1620</f>
        <v>6710</v>
      </c>
      <c r="N1610" s="168">
        <f>N1620</f>
        <v>0</v>
      </c>
      <c r="O1610" s="168">
        <f t="shared" si="286"/>
        <v>6710</v>
      </c>
      <c r="P1610" s="59"/>
      <c r="Q1610" s="169">
        <f t="shared" si="292"/>
        <v>90330</v>
      </c>
      <c r="R1610" s="169">
        <f t="shared" si="293"/>
        <v>2700</v>
      </c>
      <c r="S1610" s="169">
        <f t="shared" si="294"/>
        <v>93030</v>
      </c>
    </row>
    <row r="1611" spans="2:19" x14ac:dyDescent="0.2">
      <c r="B1611" s="48">
        <f t="shared" si="291"/>
        <v>45</v>
      </c>
      <c r="C1611" s="9"/>
      <c r="D1611" s="9"/>
      <c r="E1611" s="9"/>
      <c r="F1611" s="61" t="s">
        <v>53</v>
      </c>
      <c r="G1611" s="8">
        <v>610</v>
      </c>
      <c r="H1611" s="9" t="s">
        <v>132</v>
      </c>
      <c r="I1611" s="62">
        <f>23500+16500</f>
        <v>40000</v>
      </c>
      <c r="J1611" s="62"/>
      <c r="K1611" s="62">
        <f t="shared" si="285"/>
        <v>40000</v>
      </c>
      <c r="L1611" s="62"/>
      <c r="M1611" s="62"/>
      <c r="N1611" s="62"/>
      <c r="O1611" s="62">
        <f t="shared" si="286"/>
        <v>0</v>
      </c>
      <c r="P1611" s="63"/>
      <c r="Q1611" s="64">
        <f t="shared" si="292"/>
        <v>40000</v>
      </c>
      <c r="R1611" s="64">
        <f t="shared" si="293"/>
        <v>0</v>
      </c>
      <c r="S1611" s="64">
        <f t="shared" si="294"/>
        <v>40000</v>
      </c>
    </row>
    <row r="1612" spans="2:19" x14ac:dyDescent="0.2">
      <c r="B1612" s="48">
        <f t="shared" si="291"/>
        <v>46</v>
      </c>
      <c r="C1612" s="9"/>
      <c r="D1612" s="9"/>
      <c r="E1612" s="9"/>
      <c r="F1612" s="61" t="s">
        <v>53</v>
      </c>
      <c r="G1612" s="8">
        <v>620</v>
      </c>
      <c r="H1612" s="9" t="s">
        <v>125</v>
      </c>
      <c r="I1612" s="62">
        <f>3500+1160+650+6520+370+1400+460+2210+350</f>
        <v>16620</v>
      </c>
      <c r="J1612" s="62"/>
      <c r="K1612" s="62">
        <f t="shared" si="285"/>
        <v>16620</v>
      </c>
      <c r="L1612" s="62"/>
      <c r="M1612" s="62"/>
      <c r="N1612" s="62"/>
      <c r="O1612" s="62">
        <f t="shared" si="286"/>
        <v>0</v>
      </c>
      <c r="P1612" s="63"/>
      <c r="Q1612" s="64">
        <f t="shared" si="292"/>
        <v>16620</v>
      </c>
      <c r="R1612" s="64">
        <f t="shared" si="293"/>
        <v>0</v>
      </c>
      <c r="S1612" s="64">
        <f t="shared" si="294"/>
        <v>16620</v>
      </c>
    </row>
    <row r="1613" spans="2:19" x14ac:dyDescent="0.2">
      <c r="B1613" s="48">
        <f t="shared" si="291"/>
        <v>47</v>
      </c>
      <c r="C1613" s="9"/>
      <c r="D1613" s="9"/>
      <c r="E1613" s="9"/>
      <c r="F1613" s="61" t="s">
        <v>53</v>
      </c>
      <c r="G1613" s="8">
        <v>630</v>
      </c>
      <c r="H1613" s="9" t="s">
        <v>122</v>
      </c>
      <c r="I1613" s="62">
        <f>SUM(I1614:I1618)</f>
        <v>25180</v>
      </c>
      <c r="J1613" s="62">
        <f>SUM(J1614:J1618)</f>
        <v>0</v>
      </c>
      <c r="K1613" s="62">
        <f t="shared" si="285"/>
        <v>25180</v>
      </c>
      <c r="L1613" s="62"/>
      <c r="M1613" s="62"/>
      <c r="N1613" s="62"/>
      <c r="O1613" s="62">
        <f t="shared" si="286"/>
        <v>0</v>
      </c>
      <c r="P1613" s="63"/>
      <c r="Q1613" s="64">
        <f t="shared" si="292"/>
        <v>25180</v>
      </c>
      <c r="R1613" s="64">
        <f t="shared" si="293"/>
        <v>0</v>
      </c>
      <c r="S1613" s="64">
        <f t="shared" si="294"/>
        <v>25180</v>
      </c>
    </row>
    <row r="1614" spans="2:19" x14ac:dyDescent="0.2">
      <c r="B1614" s="48">
        <f t="shared" si="291"/>
        <v>48</v>
      </c>
      <c r="C1614" s="11"/>
      <c r="D1614" s="11"/>
      <c r="E1614" s="11"/>
      <c r="F1614" s="65"/>
      <c r="G1614" s="10">
        <v>632</v>
      </c>
      <c r="H1614" s="11" t="s">
        <v>135</v>
      </c>
      <c r="I1614" s="66">
        <f>8000+30</f>
        <v>8030</v>
      </c>
      <c r="J1614" s="66"/>
      <c r="K1614" s="66">
        <f t="shared" si="285"/>
        <v>8030</v>
      </c>
      <c r="L1614" s="66"/>
      <c r="M1614" s="66"/>
      <c r="N1614" s="66"/>
      <c r="O1614" s="66">
        <f t="shared" si="286"/>
        <v>0</v>
      </c>
      <c r="P1614" s="67"/>
      <c r="Q1614" s="68">
        <f t="shared" si="292"/>
        <v>8030</v>
      </c>
      <c r="R1614" s="68">
        <f t="shared" si="293"/>
        <v>0</v>
      </c>
      <c r="S1614" s="68">
        <f t="shared" si="294"/>
        <v>8030</v>
      </c>
    </row>
    <row r="1615" spans="2:19" x14ac:dyDescent="0.2">
      <c r="B1615" s="48">
        <f t="shared" si="291"/>
        <v>49</v>
      </c>
      <c r="C1615" s="11"/>
      <c r="D1615" s="11"/>
      <c r="E1615" s="11"/>
      <c r="F1615" s="65"/>
      <c r="G1615" s="10">
        <v>633</v>
      </c>
      <c r="H1615" s="11" t="s">
        <v>126</v>
      </c>
      <c r="I1615" s="66">
        <v>1500</v>
      </c>
      <c r="J1615" s="66"/>
      <c r="K1615" s="66">
        <f t="shared" si="285"/>
        <v>1500</v>
      </c>
      <c r="L1615" s="66"/>
      <c r="M1615" s="66"/>
      <c r="N1615" s="66"/>
      <c r="O1615" s="66">
        <f t="shared" si="286"/>
        <v>0</v>
      </c>
      <c r="P1615" s="67"/>
      <c r="Q1615" s="68">
        <f t="shared" si="292"/>
        <v>1500</v>
      </c>
      <c r="R1615" s="68">
        <f t="shared" si="293"/>
        <v>0</v>
      </c>
      <c r="S1615" s="68">
        <f t="shared" si="294"/>
        <v>1500</v>
      </c>
    </row>
    <row r="1616" spans="2:19" x14ac:dyDescent="0.2">
      <c r="B1616" s="48">
        <f t="shared" si="291"/>
        <v>50</v>
      </c>
      <c r="C1616" s="11"/>
      <c r="D1616" s="11"/>
      <c r="E1616" s="11"/>
      <c r="F1616" s="65"/>
      <c r="G1616" s="10">
        <v>634</v>
      </c>
      <c r="H1616" s="11" t="s">
        <v>133</v>
      </c>
      <c r="I1616" s="66">
        <v>1400</v>
      </c>
      <c r="J1616" s="66"/>
      <c r="K1616" s="66">
        <f t="shared" si="285"/>
        <v>1400</v>
      </c>
      <c r="L1616" s="66"/>
      <c r="M1616" s="66"/>
      <c r="N1616" s="66"/>
      <c r="O1616" s="66">
        <f t="shared" si="286"/>
        <v>0</v>
      </c>
      <c r="P1616" s="67"/>
      <c r="Q1616" s="68">
        <f t="shared" si="292"/>
        <v>1400</v>
      </c>
      <c r="R1616" s="68">
        <f t="shared" si="293"/>
        <v>0</v>
      </c>
      <c r="S1616" s="68">
        <f t="shared" si="294"/>
        <v>1400</v>
      </c>
    </row>
    <row r="1617" spans="2:19" x14ac:dyDescent="0.2">
      <c r="B1617" s="48">
        <f t="shared" si="291"/>
        <v>51</v>
      </c>
      <c r="C1617" s="11"/>
      <c r="D1617" s="11"/>
      <c r="E1617" s="11"/>
      <c r="F1617" s="65"/>
      <c r="G1617" s="10">
        <v>635</v>
      </c>
      <c r="H1617" s="11" t="s">
        <v>134</v>
      </c>
      <c r="I1617" s="66">
        <f>50+200+250+5000</f>
        <v>5500</v>
      </c>
      <c r="J1617" s="66"/>
      <c r="K1617" s="66">
        <f t="shared" si="285"/>
        <v>5500</v>
      </c>
      <c r="L1617" s="66"/>
      <c r="M1617" s="66"/>
      <c r="N1617" s="66"/>
      <c r="O1617" s="66">
        <f t="shared" si="286"/>
        <v>0</v>
      </c>
      <c r="P1617" s="67"/>
      <c r="Q1617" s="68">
        <f t="shared" si="292"/>
        <v>5500</v>
      </c>
      <c r="R1617" s="68">
        <f t="shared" si="293"/>
        <v>0</v>
      </c>
      <c r="S1617" s="68">
        <f t="shared" si="294"/>
        <v>5500</v>
      </c>
    </row>
    <row r="1618" spans="2:19" x14ac:dyDescent="0.2">
      <c r="B1618" s="48">
        <f t="shared" si="291"/>
        <v>52</v>
      </c>
      <c r="C1618" s="11"/>
      <c r="D1618" s="11"/>
      <c r="E1618" s="11"/>
      <c r="F1618" s="65"/>
      <c r="G1618" s="10">
        <v>637</v>
      </c>
      <c r="H1618" s="11" t="s">
        <v>123</v>
      </c>
      <c r="I1618" s="66">
        <v>8750</v>
      </c>
      <c r="J1618" s="66"/>
      <c r="K1618" s="66">
        <f t="shared" si="285"/>
        <v>8750</v>
      </c>
      <c r="L1618" s="66"/>
      <c r="M1618" s="66"/>
      <c r="N1618" s="66"/>
      <c r="O1618" s="66">
        <f t="shared" si="286"/>
        <v>0</v>
      </c>
      <c r="P1618" s="67"/>
      <c r="Q1618" s="68">
        <f t="shared" si="292"/>
        <v>8750</v>
      </c>
      <c r="R1618" s="68">
        <f t="shared" si="293"/>
        <v>0</v>
      </c>
      <c r="S1618" s="68">
        <f t="shared" si="294"/>
        <v>8750</v>
      </c>
    </row>
    <row r="1619" spans="2:19" x14ac:dyDescent="0.2">
      <c r="B1619" s="48">
        <f t="shared" si="291"/>
        <v>53</v>
      </c>
      <c r="C1619" s="9"/>
      <c r="D1619" s="9"/>
      <c r="E1619" s="9"/>
      <c r="F1619" s="61" t="s">
        <v>53</v>
      </c>
      <c r="G1619" s="8">
        <v>640</v>
      </c>
      <c r="H1619" s="9" t="s">
        <v>130</v>
      </c>
      <c r="I1619" s="62">
        <f>1520+300</f>
        <v>1820</v>
      </c>
      <c r="J1619" s="62">
        <v>2700</v>
      </c>
      <c r="K1619" s="62">
        <f t="shared" si="285"/>
        <v>4520</v>
      </c>
      <c r="L1619" s="62"/>
      <c r="M1619" s="62"/>
      <c r="N1619" s="62"/>
      <c r="O1619" s="62">
        <f t="shared" si="286"/>
        <v>0</v>
      </c>
      <c r="P1619" s="63"/>
      <c r="Q1619" s="64">
        <f t="shared" si="292"/>
        <v>1820</v>
      </c>
      <c r="R1619" s="64">
        <f t="shared" si="293"/>
        <v>2700</v>
      </c>
      <c r="S1619" s="64">
        <f t="shared" si="294"/>
        <v>4520</v>
      </c>
    </row>
    <row r="1620" spans="2:19" x14ac:dyDescent="0.2">
      <c r="B1620" s="48">
        <f t="shared" si="291"/>
        <v>54</v>
      </c>
      <c r="C1620" s="9"/>
      <c r="D1620" s="9"/>
      <c r="E1620" s="9"/>
      <c r="F1620" s="61" t="s">
        <v>53</v>
      </c>
      <c r="G1620" s="8">
        <v>710</v>
      </c>
      <c r="H1620" s="9" t="s">
        <v>176</v>
      </c>
      <c r="I1620" s="62"/>
      <c r="J1620" s="62"/>
      <c r="K1620" s="62">
        <f t="shared" si="285"/>
        <v>0</v>
      </c>
      <c r="L1620" s="62"/>
      <c r="M1620" s="62">
        <f>M1621</f>
        <v>6710</v>
      </c>
      <c r="N1620" s="62">
        <f>N1621</f>
        <v>0</v>
      </c>
      <c r="O1620" s="62">
        <f t="shared" si="286"/>
        <v>6710</v>
      </c>
      <c r="P1620" s="63"/>
      <c r="Q1620" s="64">
        <f t="shared" si="292"/>
        <v>6710</v>
      </c>
      <c r="R1620" s="64">
        <f t="shared" si="293"/>
        <v>0</v>
      </c>
      <c r="S1620" s="64">
        <f t="shared" si="294"/>
        <v>6710</v>
      </c>
    </row>
    <row r="1621" spans="2:19" x14ac:dyDescent="0.2">
      <c r="B1621" s="48">
        <f t="shared" si="291"/>
        <v>55</v>
      </c>
      <c r="C1621" s="9"/>
      <c r="D1621" s="9"/>
      <c r="E1621" s="9"/>
      <c r="F1621" s="61"/>
      <c r="G1621" s="10">
        <v>713</v>
      </c>
      <c r="H1621" s="11" t="s">
        <v>177</v>
      </c>
      <c r="I1621" s="66"/>
      <c r="J1621" s="66"/>
      <c r="K1621" s="66">
        <f t="shared" si="285"/>
        <v>0</v>
      </c>
      <c r="L1621" s="66"/>
      <c r="M1621" s="66">
        <f>M1622</f>
        <v>6710</v>
      </c>
      <c r="N1621" s="66">
        <f>N1622</f>
        <v>0</v>
      </c>
      <c r="O1621" s="66">
        <f t="shared" si="286"/>
        <v>6710</v>
      </c>
      <c r="P1621" s="63"/>
      <c r="Q1621" s="64">
        <f t="shared" si="292"/>
        <v>6710</v>
      </c>
      <c r="R1621" s="64">
        <f t="shared" si="293"/>
        <v>0</v>
      </c>
      <c r="S1621" s="64">
        <f t="shared" si="294"/>
        <v>6710</v>
      </c>
    </row>
    <row r="1622" spans="2:19" x14ac:dyDescent="0.2">
      <c r="B1622" s="48">
        <f t="shared" si="291"/>
        <v>56</v>
      </c>
      <c r="C1622" s="9"/>
      <c r="D1622" s="9"/>
      <c r="E1622" s="9"/>
      <c r="F1622" s="61"/>
      <c r="G1622" s="212"/>
      <c r="H1622" s="300" t="s">
        <v>565</v>
      </c>
      <c r="I1622" s="76"/>
      <c r="J1622" s="76"/>
      <c r="K1622" s="76">
        <f t="shared" si="285"/>
        <v>0</v>
      </c>
      <c r="L1622" s="76"/>
      <c r="M1622" s="76">
        <v>6710</v>
      </c>
      <c r="N1622" s="76"/>
      <c r="O1622" s="76">
        <f t="shared" si="286"/>
        <v>6710</v>
      </c>
      <c r="P1622" s="63"/>
      <c r="Q1622" s="64">
        <f t="shared" si="292"/>
        <v>6710</v>
      </c>
      <c r="R1622" s="64">
        <f t="shared" si="293"/>
        <v>0</v>
      </c>
      <c r="S1622" s="64">
        <f t="shared" si="294"/>
        <v>6710</v>
      </c>
    </row>
    <row r="1623" spans="2:19" ht="15" x14ac:dyDescent="0.25">
      <c r="B1623" s="48">
        <f t="shared" si="291"/>
        <v>57</v>
      </c>
      <c r="C1623" s="69"/>
      <c r="D1623" s="69">
        <v>2</v>
      </c>
      <c r="E1623" s="433" t="s">
        <v>269</v>
      </c>
      <c r="F1623" s="434"/>
      <c r="G1623" s="434"/>
      <c r="H1623" s="434"/>
      <c r="I1623" s="70">
        <f>I1624</f>
        <v>89180</v>
      </c>
      <c r="J1623" s="70">
        <f>J1624</f>
        <v>0</v>
      </c>
      <c r="K1623" s="70">
        <f t="shared" si="285"/>
        <v>89180</v>
      </c>
      <c r="L1623" s="58"/>
      <c r="M1623" s="70"/>
      <c r="N1623" s="70"/>
      <c r="O1623" s="70">
        <f t="shared" si="286"/>
        <v>0</v>
      </c>
      <c r="P1623" s="59"/>
      <c r="Q1623" s="71">
        <f t="shared" si="292"/>
        <v>89180</v>
      </c>
      <c r="R1623" s="71">
        <f t="shared" si="293"/>
        <v>0</v>
      </c>
      <c r="S1623" s="71">
        <f t="shared" si="294"/>
        <v>89180</v>
      </c>
    </row>
    <row r="1624" spans="2:19" ht="15" x14ac:dyDescent="0.25">
      <c r="B1624" s="48">
        <f t="shared" si="291"/>
        <v>58</v>
      </c>
      <c r="C1624" s="166"/>
      <c r="D1624" s="166"/>
      <c r="E1624" s="166">
        <v>5</v>
      </c>
      <c r="F1624" s="167"/>
      <c r="G1624" s="167"/>
      <c r="H1624" s="166" t="s">
        <v>107</v>
      </c>
      <c r="I1624" s="168">
        <f>I1625+I1626+I1627+I1633</f>
        <v>89180</v>
      </c>
      <c r="J1624" s="168">
        <f>J1625+J1626+J1627+J1633</f>
        <v>0</v>
      </c>
      <c r="K1624" s="168">
        <f t="shared" si="285"/>
        <v>89180</v>
      </c>
      <c r="L1624" s="58"/>
      <c r="M1624" s="168"/>
      <c r="N1624" s="168"/>
      <c r="O1624" s="168">
        <f t="shared" si="286"/>
        <v>0</v>
      </c>
      <c r="P1624" s="59"/>
      <c r="Q1624" s="169">
        <f t="shared" si="292"/>
        <v>89180</v>
      </c>
      <c r="R1624" s="169">
        <f t="shared" si="293"/>
        <v>0</v>
      </c>
      <c r="S1624" s="169">
        <f t="shared" si="294"/>
        <v>89180</v>
      </c>
    </row>
    <row r="1625" spans="2:19" x14ac:dyDescent="0.2">
      <c r="B1625" s="48">
        <f t="shared" si="291"/>
        <v>59</v>
      </c>
      <c r="C1625" s="9"/>
      <c r="D1625" s="9"/>
      <c r="E1625" s="9"/>
      <c r="F1625" s="61" t="s">
        <v>53</v>
      </c>
      <c r="G1625" s="8">
        <v>610</v>
      </c>
      <c r="H1625" s="9" t="s">
        <v>132</v>
      </c>
      <c r="I1625" s="62">
        <f>31730+9200+3870+9500</f>
        <v>54300</v>
      </c>
      <c r="J1625" s="62"/>
      <c r="K1625" s="62">
        <f t="shared" si="285"/>
        <v>54300</v>
      </c>
      <c r="L1625" s="62"/>
      <c r="M1625" s="62"/>
      <c r="N1625" s="62"/>
      <c r="O1625" s="62">
        <f t="shared" si="286"/>
        <v>0</v>
      </c>
      <c r="P1625" s="63"/>
      <c r="Q1625" s="64">
        <f t="shared" si="292"/>
        <v>54300</v>
      </c>
      <c r="R1625" s="64">
        <f t="shared" si="293"/>
        <v>0</v>
      </c>
      <c r="S1625" s="64">
        <f t="shared" si="294"/>
        <v>54300</v>
      </c>
    </row>
    <row r="1626" spans="2:19" x14ac:dyDescent="0.2">
      <c r="B1626" s="48">
        <f t="shared" si="291"/>
        <v>60</v>
      </c>
      <c r="C1626" s="9"/>
      <c r="D1626" s="9"/>
      <c r="E1626" s="9"/>
      <c r="F1626" s="61" t="s">
        <v>53</v>
      </c>
      <c r="G1626" s="8">
        <v>620</v>
      </c>
      <c r="H1626" s="9" t="s">
        <v>125</v>
      </c>
      <c r="I1626" s="62">
        <f>4480+630+6270+360+1340+450+2130+1350+3100</f>
        <v>20110</v>
      </c>
      <c r="J1626" s="62"/>
      <c r="K1626" s="62">
        <f t="shared" si="285"/>
        <v>20110</v>
      </c>
      <c r="L1626" s="62"/>
      <c r="M1626" s="62"/>
      <c r="N1626" s="62"/>
      <c r="O1626" s="62">
        <f t="shared" si="286"/>
        <v>0</v>
      </c>
      <c r="P1626" s="63"/>
      <c r="Q1626" s="64">
        <f t="shared" si="292"/>
        <v>20110</v>
      </c>
      <c r="R1626" s="64">
        <f t="shared" si="293"/>
        <v>0</v>
      </c>
      <c r="S1626" s="64">
        <f t="shared" si="294"/>
        <v>20110</v>
      </c>
    </row>
    <row r="1627" spans="2:19" x14ac:dyDescent="0.2">
      <c r="B1627" s="48">
        <f t="shared" si="291"/>
        <v>61</v>
      </c>
      <c r="C1627" s="9"/>
      <c r="D1627" s="9"/>
      <c r="E1627" s="9"/>
      <c r="F1627" s="61" t="s">
        <v>53</v>
      </c>
      <c r="G1627" s="8">
        <v>630</v>
      </c>
      <c r="H1627" s="9" t="s">
        <v>122</v>
      </c>
      <c r="I1627" s="62">
        <f>I1632+I1631+I1630+I1629+I1628</f>
        <v>12270</v>
      </c>
      <c r="J1627" s="62">
        <f>J1632+J1631+J1630+J1629+J1628</f>
        <v>0</v>
      </c>
      <c r="K1627" s="62">
        <f t="shared" si="285"/>
        <v>12270</v>
      </c>
      <c r="L1627" s="62"/>
      <c r="M1627" s="62"/>
      <c r="N1627" s="62"/>
      <c r="O1627" s="62">
        <f t="shared" si="286"/>
        <v>0</v>
      </c>
      <c r="P1627" s="63"/>
      <c r="Q1627" s="64">
        <f t="shared" si="292"/>
        <v>12270</v>
      </c>
      <c r="R1627" s="64">
        <f t="shared" si="293"/>
        <v>0</v>
      </c>
      <c r="S1627" s="64">
        <f t="shared" si="294"/>
        <v>12270</v>
      </c>
    </row>
    <row r="1628" spans="2:19" x14ac:dyDescent="0.2">
      <c r="B1628" s="48">
        <f t="shared" si="291"/>
        <v>62</v>
      </c>
      <c r="C1628" s="11"/>
      <c r="D1628" s="11"/>
      <c r="E1628" s="11"/>
      <c r="F1628" s="65"/>
      <c r="G1628" s="10">
        <v>631</v>
      </c>
      <c r="H1628" s="11" t="s">
        <v>128</v>
      </c>
      <c r="I1628" s="66">
        <v>50</v>
      </c>
      <c r="J1628" s="66"/>
      <c r="K1628" s="66">
        <f t="shared" si="285"/>
        <v>50</v>
      </c>
      <c r="L1628" s="66"/>
      <c r="M1628" s="66"/>
      <c r="N1628" s="66"/>
      <c r="O1628" s="66">
        <f t="shared" si="286"/>
        <v>0</v>
      </c>
      <c r="P1628" s="67"/>
      <c r="Q1628" s="68">
        <f t="shared" si="292"/>
        <v>50</v>
      </c>
      <c r="R1628" s="68">
        <f t="shared" si="293"/>
        <v>0</v>
      </c>
      <c r="S1628" s="68">
        <f t="shared" si="294"/>
        <v>50</v>
      </c>
    </row>
    <row r="1629" spans="2:19" s="164" customFormat="1" x14ac:dyDescent="0.2">
      <c r="B1629" s="48">
        <f t="shared" si="291"/>
        <v>63</v>
      </c>
      <c r="C1629" s="11"/>
      <c r="D1629" s="11"/>
      <c r="E1629" s="11"/>
      <c r="F1629" s="65"/>
      <c r="G1629" s="10">
        <v>632</v>
      </c>
      <c r="H1629" s="11" t="s">
        <v>135</v>
      </c>
      <c r="I1629" s="66">
        <v>9040</v>
      </c>
      <c r="J1629" s="66"/>
      <c r="K1629" s="66">
        <f t="shared" si="285"/>
        <v>9040</v>
      </c>
      <c r="L1629" s="66"/>
      <c r="M1629" s="66"/>
      <c r="N1629" s="66"/>
      <c r="O1629" s="66">
        <f t="shared" si="286"/>
        <v>0</v>
      </c>
      <c r="P1629" s="67"/>
      <c r="Q1629" s="68">
        <f t="shared" si="292"/>
        <v>9040</v>
      </c>
      <c r="R1629" s="68">
        <f t="shared" si="293"/>
        <v>0</v>
      </c>
      <c r="S1629" s="68">
        <f t="shared" si="294"/>
        <v>9040</v>
      </c>
    </row>
    <row r="1630" spans="2:19" s="164" customFormat="1" x14ac:dyDescent="0.2">
      <c r="B1630" s="48">
        <f t="shared" si="291"/>
        <v>64</v>
      </c>
      <c r="C1630" s="11"/>
      <c r="D1630" s="11"/>
      <c r="E1630" s="11"/>
      <c r="F1630" s="65"/>
      <c r="G1630" s="10">
        <v>633</v>
      </c>
      <c r="H1630" s="11" t="s">
        <v>126</v>
      </c>
      <c r="I1630" s="66">
        <v>950</v>
      </c>
      <c r="J1630" s="66"/>
      <c r="K1630" s="66">
        <f t="shared" si="285"/>
        <v>950</v>
      </c>
      <c r="L1630" s="66"/>
      <c r="M1630" s="66"/>
      <c r="N1630" s="66"/>
      <c r="O1630" s="66">
        <f t="shared" si="286"/>
        <v>0</v>
      </c>
      <c r="P1630" s="67"/>
      <c r="Q1630" s="68">
        <f t="shared" si="292"/>
        <v>950</v>
      </c>
      <c r="R1630" s="68">
        <f t="shared" si="293"/>
        <v>0</v>
      </c>
      <c r="S1630" s="68">
        <f t="shared" si="294"/>
        <v>950</v>
      </c>
    </row>
    <row r="1631" spans="2:19" x14ac:dyDescent="0.2">
      <c r="B1631" s="48">
        <f t="shared" si="291"/>
        <v>65</v>
      </c>
      <c r="C1631" s="11"/>
      <c r="D1631" s="11"/>
      <c r="E1631" s="11"/>
      <c r="F1631" s="65"/>
      <c r="G1631" s="10">
        <v>635</v>
      </c>
      <c r="H1631" s="11" t="s">
        <v>134</v>
      </c>
      <c r="I1631" s="66">
        <v>330</v>
      </c>
      <c r="J1631" s="66"/>
      <c r="K1631" s="66">
        <f t="shared" si="285"/>
        <v>330</v>
      </c>
      <c r="L1631" s="66"/>
      <c r="M1631" s="66"/>
      <c r="N1631" s="66"/>
      <c r="O1631" s="66">
        <f t="shared" si="286"/>
        <v>0</v>
      </c>
      <c r="P1631" s="67"/>
      <c r="Q1631" s="68">
        <f t="shared" si="292"/>
        <v>330</v>
      </c>
      <c r="R1631" s="68">
        <f t="shared" si="293"/>
        <v>0</v>
      </c>
      <c r="S1631" s="68">
        <f t="shared" si="294"/>
        <v>330</v>
      </c>
    </row>
    <row r="1632" spans="2:19" x14ac:dyDescent="0.2">
      <c r="B1632" s="48">
        <f t="shared" ref="B1632:B1674" si="295">B1631+1</f>
        <v>66</v>
      </c>
      <c r="C1632" s="11"/>
      <c r="D1632" s="11"/>
      <c r="E1632" s="11"/>
      <c r="F1632" s="65"/>
      <c r="G1632" s="10">
        <v>637</v>
      </c>
      <c r="H1632" s="11" t="s">
        <v>123</v>
      </c>
      <c r="I1632" s="66">
        <f>1800+100</f>
        <v>1900</v>
      </c>
      <c r="J1632" s="66"/>
      <c r="K1632" s="66">
        <f t="shared" ref="K1632:K1700" si="296">I1632+J1632</f>
        <v>1900</v>
      </c>
      <c r="L1632" s="66"/>
      <c r="M1632" s="66"/>
      <c r="N1632" s="66"/>
      <c r="O1632" s="66">
        <f t="shared" ref="O1632:O1700" si="297">M1632+N1632</f>
        <v>0</v>
      </c>
      <c r="P1632" s="67"/>
      <c r="Q1632" s="68">
        <f t="shared" si="292"/>
        <v>1900</v>
      </c>
      <c r="R1632" s="68">
        <f t="shared" si="293"/>
        <v>0</v>
      </c>
      <c r="S1632" s="68">
        <f t="shared" si="294"/>
        <v>1900</v>
      </c>
    </row>
    <row r="1633" spans="2:19" x14ac:dyDescent="0.2">
      <c r="B1633" s="48">
        <f t="shared" si="295"/>
        <v>67</v>
      </c>
      <c r="C1633" s="9"/>
      <c r="D1633" s="9"/>
      <c r="E1633" s="9"/>
      <c r="F1633" s="61" t="s">
        <v>53</v>
      </c>
      <c r="G1633" s="8">
        <v>640</v>
      </c>
      <c r="H1633" s="9" t="s">
        <v>130</v>
      </c>
      <c r="I1633" s="62">
        <f>2000+500</f>
        <v>2500</v>
      </c>
      <c r="J1633" s="62"/>
      <c r="K1633" s="62">
        <f t="shared" si="296"/>
        <v>2500</v>
      </c>
      <c r="L1633" s="62"/>
      <c r="M1633" s="62"/>
      <c r="N1633" s="62"/>
      <c r="O1633" s="62">
        <f t="shared" si="297"/>
        <v>0</v>
      </c>
      <c r="P1633" s="63"/>
      <c r="Q1633" s="64">
        <f t="shared" si="292"/>
        <v>2500</v>
      </c>
      <c r="R1633" s="64">
        <f t="shared" si="293"/>
        <v>0</v>
      </c>
      <c r="S1633" s="64">
        <f t="shared" si="294"/>
        <v>2500</v>
      </c>
    </row>
    <row r="1634" spans="2:19" ht="15" x14ac:dyDescent="0.25">
      <c r="B1634" s="48">
        <f t="shared" si="295"/>
        <v>68</v>
      </c>
      <c r="C1634" s="69"/>
      <c r="D1634" s="69">
        <v>3</v>
      </c>
      <c r="E1634" s="433" t="s">
        <v>418</v>
      </c>
      <c r="F1634" s="434"/>
      <c r="G1634" s="434"/>
      <c r="H1634" s="434"/>
      <c r="I1634" s="70">
        <v>0</v>
      </c>
      <c r="J1634" s="70">
        <v>0</v>
      </c>
      <c r="K1634" s="70">
        <f t="shared" si="296"/>
        <v>0</v>
      </c>
      <c r="L1634" s="58"/>
      <c r="M1634" s="70"/>
      <c r="N1634" s="70"/>
      <c r="O1634" s="70">
        <f t="shared" si="297"/>
        <v>0</v>
      </c>
      <c r="P1634" s="59"/>
      <c r="Q1634" s="71">
        <f t="shared" si="292"/>
        <v>0</v>
      </c>
      <c r="R1634" s="71">
        <f t="shared" si="293"/>
        <v>0</v>
      </c>
      <c r="S1634" s="71">
        <f t="shared" si="294"/>
        <v>0</v>
      </c>
    </row>
    <row r="1635" spans="2:19" ht="15" x14ac:dyDescent="0.2">
      <c r="B1635" s="48">
        <f t="shared" si="295"/>
        <v>69</v>
      </c>
      <c r="C1635" s="51">
        <v>5</v>
      </c>
      <c r="D1635" s="435" t="s">
        <v>178</v>
      </c>
      <c r="E1635" s="436"/>
      <c r="F1635" s="436"/>
      <c r="G1635" s="436"/>
      <c r="H1635" s="436"/>
      <c r="I1635" s="52">
        <f>I1661+I1644+I1636</f>
        <v>1284795</v>
      </c>
      <c r="J1635" s="52">
        <f>J1661+J1644+J1636</f>
        <v>0</v>
      </c>
      <c r="K1635" s="52">
        <f t="shared" si="296"/>
        <v>1284795</v>
      </c>
      <c r="L1635" s="53"/>
      <c r="M1635" s="52">
        <f>M1636+M1644+M1661</f>
        <v>23600</v>
      </c>
      <c r="N1635" s="52">
        <f>N1636+N1644+N1661</f>
        <v>20000</v>
      </c>
      <c r="O1635" s="52">
        <f t="shared" si="297"/>
        <v>43600</v>
      </c>
      <c r="P1635" s="54"/>
      <c r="Q1635" s="72">
        <f t="shared" si="292"/>
        <v>1308395</v>
      </c>
      <c r="R1635" s="72">
        <f t="shared" si="293"/>
        <v>20000</v>
      </c>
      <c r="S1635" s="72">
        <f t="shared" si="294"/>
        <v>1328395</v>
      </c>
    </row>
    <row r="1636" spans="2:19" ht="15" x14ac:dyDescent="0.25">
      <c r="B1636" s="48">
        <f t="shared" si="295"/>
        <v>70</v>
      </c>
      <c r="C1636" s="69"/>
      <c r="D1636" s="69">
        <v>1</v>
      </c>
      <c r="E1636" s="433" t="s">
        <v>450</v>
      </c>
      <c r="F1636" s="434"/>
      <c r="G1636" s="434"/>
      <c r="H1636" s="434"/>
      <c r="I1636" s="70">
        <f>I1637+I1641</f>
        <v>11900</v>
      </c>
      <c r="J1636" s="70">
        <f>J1637+J1641</f>
        <v>0</v>
      </c>
      <c r="K1636" s="70">
        <f t="shared" si="296"/>
        <v>11900</v>
      </c>
      <c r="L1636" s="58"/>
      <c r="M1636" s="70"/>
      <c r="N1636" s="70"/>
      <c r="O1636" s="70">
        <f t="shared" si="297"/>
        <v>0</v>
      </c>
      <c r="P1636" s="59"/>
      <c r="Q1636" s="71">
        <f t="shared" si="292"/>
        <v>11900</v>
      </c>
      <c r="R1636" s="71">
        <f t="shared" si="293"/>
        <v>0</v>
      </c>
      <c r="S1636" s="71">
        <f t="shared" si="294"/>
        <v>11900</v>
      </c>
    </row>
    <row r="1637" spans="2:19" x14ac:dyDescent="0.2">
      <c r="B1637" s="48">
        <f t="shared" si="295"/>
        <v>71</v>
      </c>
      <c r="C1637" s="9"/>
      <c r="D1637" s="9"/>
      <c r="E1637" s="9"/>
      <c r="F1637" s="61" t="s">
        <v>78</v>
      </c>
      <c r="G1637" s="8">
        <v>630</v>
      </c>
      <c r="H1637" s="9" t="s">
        <v>122</v>
      </c>
      <c r="I1637" s="62">
        <f>SUM(I1638:I1640)</f>
        <v>7900</v>
      </c>
      <c r="J1637" s="62">
        <f>SUM(J1638:J1640)</f>
        <v>0</v>
      </c>
      <c r="K1637" s="62">
        <f t="shared" si="296"/>
        <v>7900</v>
      </c>
      <c r="L1637" s="62"/>
      <c r="M1637" s="62"/>
      <c r="N1637" s="62"/>
      <c r="O1637" s="62">
        <f t="shared" si="297"/>
        <v>0</v>
      </c>
      <c r="P1637" s="63"/>
      <c r="Q1637" s="64">
        <f t="shared" ref="Q1637:Q1668" si="298">I1637+M1637</f>
        <v>7900</v>
      </c>
      <c r="R1637" s="64">
        <f t="shared" ref="R1637:R1668" si="299">J1637+N1637</f>
        <v>0</v>
      </c>
      <c r="S1637" s="64">
        <f t="shared" ref="S1637:S1668" si="300">K1637+O1637</f>
        <v>7900</v>
      </c>
    </row>
    <row r="1638" spans="2:19" x14ac:dyDescent="0.2">
      <c r="B1638" s="48">
        <f t="shared" si="295"/>
        <v>72</v>
      </c>
      <c r="C1638" s="11"/>
      <c r="D1638" s="11"/>
      <c r="E1638" s="11"/>
      <c r="F1638" s="65" t="s">
        <v>78</v>
      </c>
      <c r="G1638" s="10">
        <v>633</v>
      </c>
      <c r="H1638" s="11" t="s">
        <v>126</v>
      </c>
      <c r="I1638" s="66">
        <v>3800</v>
      </c>
      <c r="J1638" s="66"/>
      <c r="K1638" s="66">
        <f t="shared" si="296"/>
        <v>3800</v>
      </c>
      <c r="L1638" s="66"/>
      <c r="M1638" s="66"/>
      <c r="N1638" s="66"/>
      <c r="O1638" s="66">
        <f t="shared" si="297"/>
        <v>0</v>
      </c>
      <c r="P1638" s="67"/>
      <c r="Q1638" s="68">
        <f t="shared" si="298"/>
        <v>3800</v>
      </c>
      <c r="R1638" s="68">
        <f t="shared" si="299"/>
        <v>0</v>
      </c>
      <c r="S1638" s="68">
        <f t="shared" si="300"/>
        <v>3800</v>
      </c>
    </row>
    <row r="1639" spans="2:19" x14ac:dyDescent="0.2">
      <c r="B1639" s="48">
        <f t="shared" si="295"/>
        <v>73</v>
      </c>
      <c r="C1639" s="11"/>
      <c r="D1639" s="11"/>
      <c r="E1639" s="11"/>
      <c r="F1639" s="65" t="s">
        <v>78</v>
      </c>
      <c r="G1639" s="10">
        <v>634</v>
      </c>
      <c r="H1639" s="11" t="s">
        <v>133</v>
      </c>
      <c r="I1639" s="66">
        <v>1800</v>
      </c>
      <c r="J1639" s="66"/>
      <c r="K1639" s="66">
        <f t="shared" si="296"/>
        <v>1800</v>
      </c>
      <c r="L1639" s="66"/>
      <c r="M1639" s="66"/>
      <c r="N1639" s="66"/>
      <c r="O1639" s="66">
        <f t="shared" si="297"/>
        <v>0</v>
      </c>
      <c r="P1639" s="67"/>
      <c r="Q1639" s="68">
        <f t="shared" si="298"/>
        <v>1800</v>
      </c>
      <c r="R1639" s="68">
        <f t="shared" si="299"/>
        <v>0</v>
      </c>
      <c r="S1639" s="68">
        <f t="shared" si="300"/>
        <v>1800</v>
      </c>
    </row>
    <row r="1640" spans="2:19" x14ac:dyDescent="0.2">
      <c r="B1640" s="48">
        <f t="shared" si="295"/>
        <v>74</v>
      </c>
      <c r="C1640" s="11"/>
      <c r="D1640" s="11"/>
      <c r="E1640" s="11"/>
      <c r="F1640" s="65" t="s">
        <v>78</v>
      </c>
      <c r="G1640" s="10">
        <v>637</v>
      </c>
      <c r="H1640" s="11" t="s">
        <v>123</v>
      </c>
      <c r="I1640" s="66">
        <v>2300</v>
      </c>
      <c r="J1640" s="66"/>
      <c r="K1640" s="66">
        <f t="shared" si="296"/>
        <v>2300</v>
      </c>
      <c r="L1640" s="66"/>
      <c r="M1640" s="66"/>
      <c r="N1640" s="66"/>
      <c r="O1640" s="66">
        <f t="shared" si="297"/>
        <v>0</v>
      </c>
      <c r="P1640" s="67"/>
      <c r="Q1640" s="68">
        <f t="shared" si="298"/>
        <v>2300</v>
      </c>
      <c r="R1640" s="68">
        <f t="shared" si="299"/>
        <v>0</v>
      </c>
      <c r="S1640" s="68">
        <f t="shared" si="300"/>
        <v>2300</v>
      </c>
    </row>
    <row r="1641" spans="2:19" x14ac:dyDescent="0.2">
      <c r="B1641" s="48">
        <f t="shared" si="295"/>
        <v>75</v>
      </c>
      <c r="C1641" s="9"/>
      <c r="D1641" s="9"/>
      <c r="E1641" s="9"/>
      <c r="F1641" s="61" t="s">
        <v>75</v>
      </c>
      <c r="G1641" s="8">
        <v>640</v>
      </c>
      <c r="H1641" s="9" t="s">
        <v>130</v>
      </c>
      <c r="I1641" s="62">
        <f>I1642+I1643</f>
        <v>4000</v>
      </c>
      <c r="J1641" s="62">
        <f>J1642+J1643</f>
        <v>0</v>
      </c>
      <c r="K1641" s="62">
        <f t="shared" si="296"/>
        <v>4000</v>
      </c>
      <c r="L1641" s="62"/>
      <c r="M1641" s="62"/>
      <c r="N1641" s="62"/>
      <c r="O1641" s="62">
        <f t="shared" si="297"/>
        <v>0</v>
      </c>
      <c r="P1641" s="63"/>
      <c r="Q1641" s="64">
        <f t="shared" si="298"/>
        <v>4000</v>
      </c>
      <c r="R1641" s="64">
        <f t="shared" si="299"/>
        <v>0</v>
      </c>
      <c r="S1641" s="64">
        <f t="shared" si="300"/>
        <v>4000</v>
      </c>
    </row>
    <row r="1642" spans="2:19" x14ac:dyDescent="0.2">
      <c r="B1642" s="48">
        <f t="shared" si="295"/>
        <v>76</v>
      </c>
      <c r="C1642" s="81"/>
      <c r="D1642" s="81"/>
      <c r="E1642" s="81"/>
      <c r="F1642" s="12"/>
      <c r="G1642" s="12"/>
      <c r="H1642" s="13" t="s">
        <v>235</v>
      </c>
      <c r="I1642" s="83">
        <v>2000</v>
      </c>
      <c r="J1642" s="83"/>
      <c r="K1642" s="83">
        <f t="shared" si="296"/>
        <v>2000</v>
      </c>
      <c r="L1642" s="83"/>
      <c r="M1642" s="83"/>
      <c r="N1642" s="83"/>
      <c r="O1642" s="83">
        <f t="shared" si="297"/>
        <v>0</v>
      </c>
      <c r="P1642" s="84"/>
      <c r="Q1642" s="85">
        <f t="shared" si="298"/>
        <v>2000</v>
      </c>
      <c r="R1642" s="85">
        <f t="shared" si="299"/>
        <v>0</v>
      </c>
      <c r="S1642" s="85">
        <f t="shared" si="300"/>
        <v>2000</v>
      </c>
    </row>
    <row r="1643" spans="2:19" x14ac:dyDescent="0.2">
      <c r="B1643" s="48">
        <f t="shared" si="295"/>
        <v>77</v>
      </c>
      <c r="C1643" s="81"/>
      <c r="D1643" s="81"/>
      <c r="E1643" s="81"/>
      <c r="F1643" s="12"/>
      <c r="G1643" s="12"/>
      <c r="H1643" s="13" t="s">
        <v>2</v>
      </c>
      <c r="I1643" s="83">
        <v>2000</v>
      </c>
      <c r="J1643" s="83"/>
      <c r="K1643" s="83">
        <f t="shared" si="296"/>
        <v>2000</v>
      </c>
      <c r="L1643" s="83"/>
      <c r="M1643" s="83"/>
      <c r="N1643" s="83"/>
      <c r="O1643" s="83">
        <f t="shared" si="297"/>
        <v>0</v>
      </c>
      <c r="P1643" s="84"/>
      <c r="Q1643" s="85">
        <f t="shared" si="298"/>
        <v>2000</v>
      </c>
      <c r="R1643" s="85">
        <f t="shared" si="299"/>
        <v>0</v>
      </c>
      <c r="S1643" s="85">
        <f t="shared" si="300"/>
        <v>2000</v>
      </c>
    </row>
    <row r="1644" spans="2:19" ht="15" x14ac:dyDescent="0.25">
      <c r="B1644" s="48">
        <f t="shared" si="295"/>
        <v>78</v>
      </c>
      <c r="C1644" s="69"/>
      <c r="D1644" s="69">
        <v>2</v>
      </c>
      <c r="E1644" s="433" t="s">
        <v>59</v>
      </c>
      <c r="F1644" s="434"/>
      <c r="G1644" s="434"/>
      <c r="H1644" s="434"/>
      <c r="I1644" s="70">
        <f>I1645</f>
        <v>1191895</v>
      </c>
      <c r="J1644" s="70">
        <f>J1645</f>
        <v>0</v>
      </c>
      <c r="K1644" s="70">
        <f t="shared" si="296"/>
        <v>1191895</v>
      </c>
      <c r="L1644" s="58"/>
      <c r="M1644" s="70">
        <f>M1645</f>
        <v>23600</v>
      </c>
      <c r="N1644" s="70">
        <f>N1645</f>
        <v>20000</v>
      </c>
      <c r="O1644" s="70">
        <f t="shared" si="297"/>
        <v>43600</v>
      </c>
      <c r="P1644" s="59"/>
      <c r="Q1644" s="71">
        <f t="shared" si="298"/>
        <v>1215495</v>
      </c>
      <c r="R1644" s="71">
        <f t="shared" si="299"/>
        <v>20000</v>
      </c>
      <c r="S1644" s="71">
        <f t="shared" si="300"/>
        <v>1235495</v>
      </c>
    </row>
    <row r="1645" spans="2:19" ht="15" x14ac:dyDescent="0.25">
      <c r="B1645" s="48">
        <f t="shared" si="295"/>
        <v>79</v>
      </c>
      <c r="C1645" s="166"/>
      <c r="D1645" s="166"/>
      <c r="E1645" s="166">
        <v>5</v>
      </c>
      <c r="F1645" s="167"/>
      <c r="G1645" s="167"/>
      <c r="H1645" s="166" t="s">
        <v>107</v>
      </c>
      <c r="I1645" s="168">
        <f>I1646+I1647+I1648+I1656</f>
        <v>1191895</v>
      </c>
      <c r="J1645" s="168">
        <f>J1646+J1647+J1648+J1656</f>
        <v>0</v>
      </c>
      <c r="K1645" s="168">
        <f t="shared" si="296"/>
        <v>1191895</v>
      </c>
      <c r="L1645" s="58"/>
      <c r="M1645" s="168">
        <f>M1657</f>
        <v>23600</v>
      </c>
      <c r="N1645" s="168">
        <f>N1657</f>
        <v>20000</v>
      </c>
      <c r="O1645" s="168">
        <f t="shared" si="297"/>
        <v>43600</v>
      </c>
      <c r="P1645" s="59"/>
      <c r="Q1645" s="169">
        <f t="shared" si="298"/>
        <v>1215495</v>
      </c>
      <c r="R1645" s="169">
        <f t="shared" si="299"/>
        <v>20000</v>
      </c>
      <c r="S1645" s="169">
        <f t="shared" si="300"/>
        <v>1235495</v>
      </c>
    </row>
    <row r="1646" spans="2:19" x14ac:dyDescent="0.2">
      <c r="B1646" s="48">
        <f t="shared" si="295"/>
        <v>80</v>
      </c>
      <c r="C1646" s="9"/>
      <c r="D1646" s="9"/>
      <c r="E1646" s="9"/>
      <c r="F1646" s="61" t="s">
        <v>78</v>
      </c>
      <c r="G1646" s="8">
        <v>610</v>
      </c>
      <c r="H1646" s="9" t="s">
        <v>132</v>
      </c>
      <c r="I1646" s="62">
        <v>584100</v>
      </c>
      <c r="J1646" s="62"/>
      <c r="K1646" s="62">
        <f t="shared" si="296"/>
        <v>584100</v>
      </c>
      <c r="L1646" s="62"/>
      <c r="M1646" s="62"/>
      <c r="N1646" s="62"/>
      <c r="O1646" s="62">
        <f t="shared" si="297"/>
        <v>0</v>
      </c>
      <c r="P1646" s="63"/>
      <c r="Q1646" s="64">
        <f t="shared" si="298"/>
        <v>584100</v>
      </c>
      <c r="R1646" s="64">
        <f t="shared" si="299"/>
        <v>0</v>
      </c>
      <c r="S1646" s="64">
        <f t="shared" si="300"/>
        <v>584100</v>
      </c>
    </row>
    <row r="1647" spans="2:19" x14ac:dyDescent="0.2">
      <c r="B1647" s="48">
        <f t="shared" si="295"/>
        <v>81</v>
      </c>
      <c r="C1647" s="9"/>
      <c r="D1647" s="9"/>
      <c r="E1647" s="9"/>
      <c r="F1647" s="61" t="s">
        <v>78</v>
      </c>
      <c r="G1647" s="8">
        <v>620</v>
      </c>
      <c r="H1647" s="9" t="s">
        <v>125</v>
      </c>
      <c r="I1647" s="62">
        <v>197195</v>
      </c>
      <c r="J1647" s="62"/>
      <c r="K1647" s="62">
        <f t="shared" si="296"/>
        <v>197195</v>
      </c>
      <c r="L1647" s="62"/>
      <c r="M1647" s="62"/>
      <c r="N1647" s="62"/>
      <c r="O1647" s="62">
        <f t="shared" si="297"/>
        <v>0</v>
      </c>
      <c r="P1647" s="63"/>
      <c r="Q1647" s="64">
        <f t="shared" si="298"/>
        <v>197195</v>
      </c>
      <c r="R1647" s="64">
        <f t="shared" si="299"/>
        <v>0</v>
      </c>
      <c r="S1647" s="64">
        <f t="shared" si="300"/>
        <v>197195</v>
      </c>
    </row>
    <row r="1648" spans="2:19" x14ac:dyDescent="0.2">
      <c r="B1648" s="48">
        <f t="shared" si="295"/>
        <v>82</v>
      </c>
      <c r="C1648" s="9"/>
      <c r="D1648" s="9"/>
      <c r="E1648" s="9"/>
      <c r="F1648" s="61" t="s">
        <v>78</v>
      </c>
      <c r="G1648" s="8">
        <v>630</v>
      </c>
      <c r="H1648" s="9" t="s">
        <v>122</v>
      </c>
      <c r="I1648" s="62">
        <f>I1655+I1654+I1653+I1652+I1651+I1650+I1649</f>
        <v>377900</v>
      </c>
      <c r="J1648" s="62">
        <f>J1655+J1654+J1653+J1652+J1651+J1650+J1649</f>
        <v>0</v>
      </c>
      <c r="K1648" s="62">
        <f t="shared" si="296"/>
        <v>377900</v>
      </c>
      <c r="L1648" s="62"/>
      <c r="M1648" s="62"/>
      <c r="N1648" s="62"/>
      <c r="O1648" s="62">
        <f t="shared" si="297"/>
        <v>0</v>
      </c>
      <c r="P1648" s="63"/>
      <c r="Q1648" s="64">
        <f t="shared" si="298"/>
        <v>377900</v>
      </c>
      <c r="R1648" s="64">
        <f t="shared" si="299"/>
        <v>0</v>
      </c>
      <c r="S1648" s="64">
        <f t="shared" si="300"/>
        <v>377900</v>
      </c>
    </row>
    <row r="1649" spans="2:19" x14ac:dyDescent="0.2">
      <c r="B1649" s="48">
        <f t="shared" si="295"/>
        <v>83</v>
      </c>
      <c r="C1649" s="11"/>
      <c r="D1649" s="11"/>
      <c r="E1649" s="11"/>
      <c r="F1649" s="65"/>
      <c r="G1649" s="10">
        <v>631</v>
      </c>
      <c r="H1649" s="11" t="s">
        <v>128</v>
      </c>
      <c r="I1649" s="66">
        <v>100</v>
      </c>
      <c r="J1649" s="66"/>
      <c r="K1649" s="66">
        <f t="shared" si="296"/>
        <v>100</v>
      </c>
      <c r="L1649" s="66"/>
      <c r="M1649" s="66"/>
      <c r="N1649" s="66"/>
      <c r="O1649" s="66">
        <f t="shared" si="297"/>
        <v>0</v>
      </c>
      <c r="P1649" s="67"/>
      <c r="Q1649" s="68">
        <f t="shared" si="298"/>
        <v>100</v>
      </c>
      <c r="R1649" s="68">
        <f t="shared" si="299"/>
        <v>0</v>
      </c>
      <c r="S1649" s="68">
        <f t="shared" si="300"/>
        <v>100</v>
      </c>
    </row>
    <row r="1650" spans="2:19" x14ac:dyDescent="0.2">
      <c r="B1650" s="48">
        <f t="shared" si="295"/>
        <v>84</v>
      </c>
      <c r="C1650" s="11"/>
      <c r="D1650" s="11"/>
      <c r="E1650" s="11"/>
      <c r="F1650" s="65"/>
      <c r="G1650" s="10">
        <v>632</v>
      </c>
      <c r="H1650" s="11" t="s">
        <v>135</v>
      </c>
      <c r="I1650" s="66">
        <v>133500</v>
      </c>
      <c r="J1650" s="66"/>
      <c r="K1650" s="66">
        <f t="shared" si="296"/>
        <v>133500</v>
      </c>
      <c r="L1650" s="66"/>
      <c r="M1650" s="66"/>
      <c r="N1650" s="66"/>
      <c r="O1650" s="66">
        <f t="shared" si="297"/>
        <v>0</v>
      </c>
      <c r="P1650" s="67"/>
      <c r="Q1650" s="68">
        <f t="shared" si="298"/>
        <v>133500</v>
      </c>
      <c r="R1650" s="68">
        <f t="shared" si="299"/>
        <v>0</v>
      </c>
      <c r="S1650" s="68">
        <f t="shared" si="300"/>
        <v>133500</v>
      </c>
    </row>
    <row r="1651" spans="2:19" x14ac:dyDescent="0.2">
      <c r="B1651" s="48">
        <f t="shared" si="295"/>
        <v>85</v>
      </c>
      <c r="C1651" s="11"/>
      <c r="D1651" s="11"/>
      <c r="E1651" s="11"/>
      <c r="F1651" s="65"/>
      <c r="G1651" s="10">
        <v>633</v>
      </c>
      <c r="H1651" s="11" t="s">
        <v>126</v>
      </c>
      <c r="I1651" s="66">
        <v>30000</v>
      </c>
      <c r="J1651" s="66"/>
      <c r="K1651" s="66">
        <f t="shared" si="296"/>
        <v>30000</v>
      </c>
      <c r="L1651" s="66"/>
      <c r="M1651" s="66"/>
      <c r="N1651" s="66"/>
      <c r="O1651" s="66">
        <f t="shared" si="297"/>
        <v>0</v>
      </c>
      <c r="P1651" s="67"/>
      <c r="Q1651" s="68">
        <f t="shared" si="298"/>
        <v>30000</v>
      </c>
      <c r="R1651" s="68">
        <f t="shared" si="299"/>
        <v>0</v>
      </c>
      <c r="S1651" s="68">
        <f t="shared" si="300"/>
        <v>30000</v>
      </c>
    </row>
    <row r="1652" spans="2:19" s="164" customFormat="1" x14ac:dyDescent="0.2">
      <c r="B1652" s="48">
        <f t="shared" si="295"/>
        <v>86</v>
      </c>
      <c r="C1652" s="11"/>
      <c r="D1652" s="11"/>
      <c r="E1652" s="11"/>
      <c r="F1652" s="65"/>
      <c r="G1652" s="10">
        <v>634</v>
      </c>
      <c r="H1652" s="11" t="s">
        <v>133</v>
      </c>
      <c r="I1652" s="66">
        <v>1800</v>
      </c>
      <c r="J1652" s="66"/>
      <c r="K1652" s="66">
        <f t="shared" si="296"/>
        <v>1800</v>
      </c>
      <c r="L1652" s="66"/>
      <c r="M1652" s="66"/>
      <c r="N1652" s="66"/>
      <c r="O1652" s="66">
        <f t="shared" si="297"/>
        <v>0</v>
      </c>
      <c r="P1652" s="67"/>
      <c r="Q1652" s="68">
        <f t="shared" si="298"/>
        <v>1800</v>
      </c>
      <c r="R1652" s="68">
        <f t="shared" si="299"/>
        <v>0</v>
      </c>
      <c r="S1652" s="68">
        <f t="shared" si="300"/>
        <v>1800</v>
      </c>
    </row>
    <row r="1653" spans="2:19" s="164" customFormat="1" x14ac:dyDescent="0.2">
      <c r="B1653" s="48">
        <f t="shared" si="295"/>
        <v>87</v>
      </c>
      <c r="C1653" s="11"/>
      <c r="D1653" s="11"/>
      <c r="E1653" s="11"/>
      <c r="F1653" s="65"/>
      <c r="G1653" s="10">
        <v>635</v>
      </c>
      <c r="H1653" s="11" t="s">
        <v>134</v>
      </c>
      <c r="I1653" s="66">
        <v>11500</v>
      </c>
      <c r="J1653" s="66"/>
      <c r="K1653" s="66">
        <f t="shared" si="296"/>
        <v>11500</v>
      </c>
      <c r="L1653" s="66"/>
      <c r="M1653" s="66"/>
      <c r="N1653" s="66"/>
      <c r="O1653" s="66">
        <f t="shared" si="297"/>
        <v>0</v>
      </c>
      <c r="P1653" s="67"/>
      <c r="Q1653" s="68">
        <f t="shared" si="298"/>
        <v>11500</v>
      </c>
      <c r="R1653" s="68">
        <f t="shared" si="299"/>
        <v>0</v>
      </c>
      <c r="S1653" s="68">
        <f t="shared" si="300"/>
        <v>11500</v>
      </c>
    </row>
    <row r="1654" spans="2:19" s="164" customFormat="1" x14ac:dyDescent="0.2">
      <c r="B1654" s="48">
        <f t="shared" si="295"/>
        <v>88</v>
      </c>
      <c r="C1654" s="11"/>
      <c r="D1654" s="11"/>
      <c r="E1654" s="11"/>
      <c r="F1654" s="65"/>
      <c r="G1654" s="10">
        <v>636</v>
      </c>
      <c r="H1654" s="11" t="s">
        <v>127</v>
      </c>
      <c r="I1654" s="66">
        <v>1000</v>
      </c>
      <c r="J1654" s="66"/>
      <c r="K1654" s="66">
        <f t="shared" si="296"/>
        <v>1000</v>
      </c>
      <c r="L1654" s="66"/>
      <c r="M1654" s="66"/>
      <c r="N1654" s="66"/>
      <c r="O1654" s="66">
        <f t="shared" si="297"/>
        <v>0</v>
      </c>
      <c r="P1654" s="67"/>
      <c r="Q1654" s="68">
        <f t="shared" si="298"/>
        <v>1000</v>
      </c>
      <c r="R1654" s="68">
        <f t="shared" si="299"/>
        <v>0</v>
      </c>
      <c r="S1654" s="68">
        <f t="shared" si="300"/>
        <v>1000</v>
      </c>
    </row>
    <row r="1655" spans="2:19" s="164" customFormat="1" x14ac:dyDescent="0.2">
      <c r="B1655" s="48">
        <f t="shared" si="295"/>
        <v>89</v>
      </c>
      <c r="C1655" s="11"/>
      <c r="D1655" s="11"/>
      <c r="E1655" s="11"/>
      <c r="F1655" s="65"/>
      <c r="G1655" s="10">
        <v>637</v>
      </c>
      <c r="H1655" s="11" t="s">
        <v>123</v>
      </c>
      <c r="I1655" s="66">
        <f>160000+40000</f>
        <v>200000</v>
      </c>
      <c r="J1655" s="66"/>
      <c r="K1655" s="66">
        <f t="shared" si="296"/>
        <v>200000</v>
      </c>
      <c r="L1655" s="66"/>
      <c r="M1655" s="66"/>
      <c r="N1655" s="66"/>
      <c r="O1655" s="66">
        <f t="shared" si="297"/>
        <v>0</v>
      </c>
      <c r="P1655" s="67"/>
      <c r="Q1655" s="68">
        <f t="shared" si="298"/>
        <v>200000</v>
      </c>
      <c r="R1655" s="68">
        <f t="shared" si="299"/>
        <v>0</v>
      </c>
      <c r="S1655" s="68">
        <f t="shared" si="300"/>
        <v>200000</v>
      </c>
    </row>
    <row r="1656" spans="2:19" x14ac:dyDescent="0.2">
      <c r="B1656" s="48">
        <f t="shared" si="295"/>
        <v>90</v>
      </c>
      <c r="C1656" s="9"/>
      <c r="D1656" s="9"/>
      <c r="E1656" s="9"/>
      <c r="F1656" s="61" t="s">
        <v>78</v>
      </c>
      <c r="G1656" s="8">
        <v>640</v>
      </c>
      <c r="H1656" s="9" t="s">
        <v>130</v>
      </c>
      <c r="I1656" s="62">
        <f>5880+22320+4500</f>
        <v>32700</v>
      </c>
      <c r="J1656" s="62"/>
      <c r="K1656" s="62">
        <f t="shared" si="296"/>
        <v>32700</v>
      </c>
      <c r="L1656" s="62"/>
      <c r="M1656" s="62"/>
      <c r="N1656" s="62"/>
      <c r="O1656" s="62">
        <f t="shared" si="297"/>
        <v>0</v>
      </c>
      <c r="P1656" s="63"/>
      <c r="Q1656" s="64">
        <f t="shared" si="298"/>
        <v>32700</v>
      </c>
      <c r="R1656" s="64">
        <f t="shared" si="299"/>
        <v>0</v>
      </c>
      <c r="S1656" s="64">
        <f t="shared" si="300"/>
        <v>32700</v>
      </c>
    </row>
    <row r="1657" spans="2:19" x14ac:dyDescent="0.2">
      <c r="B1657" s="48">
        <f t="shared" si="295"/>
        <v>91</v>
      </c>
      <c r="C1657" s="9"/>
      <c r="D1657" s="9"/>
      <c r="E1657" s="9"/>
      <c r="F1657" s="61" t="s">
        <v>78</v>
      </c>
      <c r="G1657" s="8">
        <v>710</v>
      </c>
      <c r="H1657" s="9" t="s">
        <v>176</v>
      </c>
      <c r="I1657" s="62"/>
      <c r="J1657" s="62"/>
      <c r="K1657" s="62">
        <f t="shared" si="296"/>
        <v>0</v>
      </c>
      <c r="L1657" s="62"/>
      <c r="M1657" s="62">
        <f>M1658</f>
        <v>23600</v>
      </c>
      <c r="N1657" s="62">
        <f>N1658</f>
        <v>20000</v>
      </c>
      <c r="O1657" s="62">
        <f t="shared" si="297"/>
        <v>43600</v>
      </c>
      <c r="P1657" s="63"/>
      <c r="Q1657" s="64">
        <f t="shared" si="298"/>
        <v>23600</v>
      </c>
      <c r="R1657" s="64">
        <f t="shared" si="299"/>
        <v>20000</v>
      </c>
      <c r="S1657" s="64">
        <f t="shared" si="300"/>
        <v>43600</v>
      </c>
    </row>
    <row r="1658" spans="2:19" x14ac:dyDescent="0.2">
      <c r="B1658" s="48">
        <f t="shared" si="295"/>
        <v>92</v>
      </c>
      <c r="C1658" s="11"/>
      <c r="D1658" s="11"/>
      <c r="E1658" s="11"/>
      <c r="F1658" s="65"/>
      <c r="G1658" s="10">
        <v>717</v>
      </c>
      <c r="H1658" s="11" t="s">
        <v>183</v>
      </c>
      <c r="I1658" s="66"/>
      <c r="J1658" s="66"/>
      <c r="K1658" s="66">
        <f t="shared" si="296"/>
        <v>0</v>
      </c>
      <c r="L1658" s="66"/>
      <c r="M1658" s="66">
        <f>SUM(M1659:M1659)</f>
        <v>23600</v>
      </c>
      <c r="N1658" s="66">
        <f>SUM(N1659:N1660)</f>
        <v>20000</v>
      </c>
      <c r="O1658" s="66">
        <f t="shared" si="297"/>
        <v>43600</v>
      </c>
      <c r="P1658" s="67"/>
      <c r="Q1658" s="68">
        <f t="shared" si="298"/>
        <v>23600</v>
      </c>
      <c r="R1658" s="68">
        <f t="shared" si="299"/>
        <v>20000</v>
      </c>
      <c r="S1658" s="68">
        <f t="shared" si="300"/>
        <v>43600</v>
      </c>
    </row>
    <row r="1659" spans="2:19" x14ac:dyDescent="0.2">
      <c r="B1659" s="48">
        <f t="shared" si="295"/>
        <v>93</v>
      </c>
      <c r="C1659" s="81"/>
      <c r="D1659" s="81"/>
      <c r="E1659" s="81"/>
      <c r="F1659" s="301"/>
      <c r="G1659" s="12"/>
      <c r="H1659" s="13" t="s">
        <v>453</v>
      </c>
      <c r="I1659" s="211"/>
      <c r="J1659" s="211"/>
      <c r="K1659" s="211">
        <f t="shared" si="296"/>
        <v>0</v>
      </c>
      <c r="L1659" s="211"/>
      <c r="M1659" s="211">
        <f>25000-1400</f>
        <v>23600</v>
      </c>
      <c r="N1659" s="211"/>
      <c r="O1659" s="211">
        <f t="shared" si="297"/>
        <v>23600</v>
      </c>
      <c r="P1659" s="215"/>
      <c r="Q1659" s="216">
        <f t="shared" si="298"/>
        <v>23600</v>
      </c>
      <c r="R1659" s="216">
        <f t="shared" si="299"/>
        <v>0</v>
      </c>
      <c r="S1659" s="216">
        <f t="shared" si="300"/>
        <v>23600</v>
      </c>
    </row>
    <row r="1660" spans="2:19" x14ac:dyDescent="0.2">
      <c r="B1660" s="48">
        <f t="shared" si="295"/>
        <v>94</v>
      </c>
      <c r="C1660" s="81"/>
      <c r="D1660" s="81"/>
      <c r="E1660" s="81"/>
      <c r="F1660" s="301"/>
      <c r="G1660" s="12"/>
      <c r="H1660" s="13" t="s">
        <v>628</v>
      </c>
      <c r="I1660" s="211"/>
      <c r="J1660" s="211"/>
      <c r="K1660" s="211">
        <f t="shared" si="296"/>
        <v>0</v>
      </c>
      <c r="L1660" s="211"/>
      <c r="M1660" s="211">
        <v>0</v>
      </c>
      <c r="N1660" s="211">
        <v>20000</v>
      </c>
      <c r="O1660" s="211">
        <f>M1660+N1660</f>
        <v>20000</v>
      </c>
      <c r="P1660" s="215"/>
      <c r="Q1660" s="216">
        <f t="shared" si="298"/>
        <v>0</v>
      </c>
      <c r="R1660" s="216">
        <f t="shared" si="299"/>
        <v>20000</v>
      </c>
      <c r="S1660" s="216">
        <f t="shared" si="300"/>
        <v>20000</v>
      </c>
    </row>
    <row r="1661" spans="2:19" ht="15" x14ac:dyDescent="0.25">
      <c r="B1661" s="48">
        <f t="shared" si="295"/>
        <v>95</v>
      </c>
      <c r="C1661" s="69"/>
      <c r="D1661" s="69">
        <v>3</v>
      </c>
      <c r="E1661" s="433" t="s">
        <v>368</v>
      </c>
      <c r="F1661" s="434"/>
      <c r="G1661" s="434"/>
      <c r="H1661" s="434"/>
      <c r="I1661" s="70">
        <f>I1662</f>
        <v>81000</v>
      </c>
      <c r="J1661" s="70">
        <f>J1662</f>
        <v>0</v>
      </c>
      <c r="K1661" s="70">
        <f t="shared" si="296"/>
        <v>81000</v>
      </c>
      <c r="L1661" s="58"/>
      <c r="M1661" s="70"/>
      <c r="N1661" s="70"/>
      <c r="O1661" s="70">
        <f t="shared" si="297"/>
        <v>0</v>
      </c>
      <c r="P1661" s="59"/>
      <c r="Q1661" s="71">
        <f t="shared" si="298"/>
        <v>81000</v>
      </c>
      <c r="R1661" s="71">
        <f t="shared" si="299"/>
        <v>0</v>
      </c>
      <c r="S1661" s="71">
        <f t="shared" si="300"/>
        <v>81000</v>
      </c>
    </row>
    <row r="1662" spans="2:19" x14ac:dyDescent="0.2">
      <c r="B1662" s="48">
        <f t="shared" si="295"/>
        <v>96</v>
      </c>
      <c r="C1662" s="9"/>
      <c r="D1662" s="9"/>
      <c r="E1662" s="9"/>
      <c r="F1662" s="61" t="s">
        <v>78</v>
      </c>
      <c r="G1662" s="8">
        <v>630</v>
      </c>
      <c r="H1662" s="9" t="s">
        <v>122</v>
      </c>
      <c r="I1662" s="62">
        <f>I1666+I1665+I1664+I1663</f>
        <v>81000</v>
      </c>
      <c r="J1662" s="62">
        <f>J1666+J1665+J1664+J1663</f>
        <v>0</v>
      </c>
      <c r="K1662" s="62">
        <f t="shared" si="296"/>
        <v>81000</v>
      </c>
      <c r="L1662" s="62"/>
      <c r="M1662" s="62"/>
      <c r="N1662" s="62"/>
      <c r="O1662" s="62">
        <f t="shared" si="297"/>
        <v>0</v>
      </c>
      <c r="P1662" s="63"/>
      <c r="Q1662" s="64">
        <f t="shared" si="298"/>
        <v>81000</v>
      </c>
      <c r="R1662" s="64">
        <f t="shared" si="299"/>
        <v>0</v>
      </c>
      <c r="S1662" s="64">
        <f t="shared" si="300"/>
        <v>81000</v>
      </c>
    </row>
    <row r="1663" spans="2:19" x14ac:dyDescent="0.2">
      <c r="B1663" s="48">
        <f t="shared" si="295"/>
        <v>97</v>
      </c>
      <c r="C1663" s="11"/>
      <c r="D1663" s="11"/>
      <c r="E1663" s="11"/>
      <c r="F1663" s="65"/>
      <c r="G1663" s="10">
        <v>632</v>
      </c>
      <c r="H1663" s="11" t="s">
        <v>135</v>
      </c>
      <c r="I1663" s="66">
        <v>70000</v>
      </c>
      <c r="J1663" s="66"/>
      <c r="K1663" s="66">
        <f t="shared" si="296"/>
        <v>70000</v>
      </c>
      <c r="L1663" s="66"/>
      <c r="M1663" s="66"/>
      <c r="N1663" s="66"/>
      <c r="O1663" s="66">
        <f t="shared" si="297"/>
        <v>0</v>
      </c>
      <c r="P1663" s="67"/>
      <c r="Q1663" s="68">
        <f t="shared" si="298"/>
        <v>70000</v>
      </c>
      <c r="R1663" s="68">
        <f t="shared" si="299"/>
        <v>0</v>
      </c>
      <c r="S1663" s="68">
        <f t="shared" si="300"/>
        <v>70000</v>
      </c>
    </row>
    <row r="1664" spans="2:19" x14ac:dyDescent="0.2">
      <c r="B1664" s="48">
        <f t="shared" si="295"/>
        <v>98</v>
      </c>
      <c r="C1664" s="11"/>
      <c r="D1664" s="11"/>
      <c r="E1664" s="11"/>
      <c r="F1664" s="65"/>
      <c r="G1664" s="10">
        <v>633</v>
      </c>
      <c r="H1664" s="11" t="s">
        <v>126</v>
      </c>
      <c r="I1664" s="66">
        <v>2500</v>
      </c>
      <c r="J1664" s="66"/>
      <c r="K1664" s="66">
        <f t="shared" si="296"/>
        <v>2500</v>
      </c>
      <c r="L1664" s="66"/>
      <c r="M1664" s="66"/>
      <c r="N1664" s="66"/>
      <c r="O1664" s="66">
        <f t="shared" si="297"/>
        <v>0</v>
      </c>
      <c r="P1664" s="67"/>
      <c r="Q1664" s="68">
        <f t="shared" si="298"/>
        <v>2500</v>
      </c>
      <c r="R1664" s="68">
        <f t="shared" si="299"/>
        <v>0</v>
      </c>
      <c r="S1664" s="68">
        <f t="shared" si="300"/>
        <v>2500</v>
      </c>
    </row>
    <row r="1665" spans="2:19" x14ac:dyDescent="0.2">
      <c r="B1665" s="48">
        <f t="shared" si="295"/>
        <v>99</v>
      </c>
      <c r="C1665" s="11"/>
      <c r="D1665" s="11"/>
      <c r="E1665" s="11"/>
      <c r="F1665" s="65"/>
      <c r="G1665" s="10">
        <v>635</v>
      </c>
      <c r="H1665" s="11" t="s">
        <v>134</v>
      </c>
      <c r="I1665" s="66">
        <v>5200</v>
      </c>
      <c r="J1665" s="66"/>
      <c r="K1665" s="66">
        <f t="shared" si="296"/>
        <v>5200</v>
      </c>
      <c r="L1665" s="66"/>
      <c r="M1665" s="66"/>
      <c r="N1665" s="66"/>
      <c r="O1665" s="66">
        <f t="shared" si="297"/>
        <v>0</v>
      </c>
      <c r="P1665" s="67"/>
      <c r="Q1665" s="68">
        <f t="shared" si="298"/>
        <v>5200</v>
      </c>
      <c r="R1665" s="68">
        <f t="shared" si="299"/>
        <v>0</v>
      </c>
      <c r="S1665" s="68">
        <f t="shared" si="300"/>
        <v>5200</v>
      </c>
    </row>
    <row r="1666" spans="2:19" x14ac:dyDescent="0.2">
      <c r="B1666" s="48">
        <f t="shared" si="295"/>
        <v>100</v>
      </c>
      <c r="C1666" s="11"/>
      <c r="D1666" s="11"/>
      <c r="E1666" s="11"/>
      <c r="F1666" s="65"/>
      <c r="G1666" s="10">
        <v>637</v>
      </c>
      <c r="H1666" s="11" t="s">
        <v>123</v>
      </c>
      <c r="I1666" s="66">
        <v>3300</v>
      </c>
      <c r="J1666" s="66"/>
      <c r="K1666" s="66">
        <f t="shared" si="296"/>
        <v>3300</v>
      </c>
      <c r="L1666" s="66"/>
      <c r="M1666" s="66"/>
      <c r="N1666" s="66"/>
      <c r="O1666" s="66">
        <f t="shared" si="297"/>
        <v>0</v>
      </c>
      <c r="P1666" s="67"/>
      <c r="Q1666" s="68">
        <f t="shared" si="298"/>
        <v>3300</v>
      </c>
      <c r="R1666" s="68">
        <f t="shared" si="299"/>
        <v>0</v>
      </c>
      <c r="S1666" s="68">
        <f t="shared" si="300"/>
        <v>3300</v>
      </c>
    </row>
    <row r="1667" spans="2:19" ht="15" x14ac:dyDescent="0.2">
      <c r="B1667" s="48">
        <f t="shared" si="295"/>
        <v>101</v>
      </c>
      <c r="C1667" s="51">
        <v>6</v>
      </c>
      <c r="D1667" s="435" t="s">
        <v>230</v>
      </c>
      <c r="E1667" s="436"/>
      <c r="F1667" s="436"/>
      <c r="G1667" s="436"/>
      <c r="H1667" s="436"/>
      <c r="I1667" s="52">
        <f>I1668</f>
        <v>2260730</v>
      </c>
      <c r="J1667" s="52">
        <f>J1668</f>
        <v>4850</v>
      </c>
      <c r="K1667" s="52">
        <f t="shared" si="296"/>
        <v>2265580</v>
      </c>
      <c r="L1667" s="53"/>
      <c r="M1667" s="52">
        <f>M1668</f>
        <v>460000</v>
      </c>
      <c r="N1667" s="52">
        <f>N1668</f>
        <v>109000</v>
      </c>
      <c r="O1667" s="52">
        <f t="shared" si="297"/>
        <v>569000</v>
      </c>
      <c r="P1667" s="54"/>
      <c r="Q1667" s="72">
        <f t="shared" si="298"/>
        <v>2720730</v>
      </c>
      <c r="R1667" s="72">
        <f t="shared" si="299"/>
        <v>113850</v>
      </c>
      <c r="S1667" s="72">
        <f t="shared" si="300"/>
        <v>2834580</v>
      </c>
    </row>
    <row r="1668" spans="2:19" ht="15" x14ac:dyDescent="0.25">
      <c r="B1668" s="48">
        <f t="shared" si="295"/>
        <v>102</v>
      </c>
      <c r="C1668" s="166"/>
      <c r="D1668" s="166"/>
      <c r="E1668" s="166">
        <v>5</v>
      </c>
      <c r="F1668" s="167"/>
      <c r="G1668" s="167"/>
      <c r="H1668" s="166" t="s">
        <v>107</v>
      </c>
      <c r="I1668" s="168">
        <f>I1669+I1670+I1671+I1679</f>
        <v>2260730</v>
      </c>
      <c r="J1668" s="168">
        <f>J1669+J1670+J1671+J1679</f>
        <v>4850</v>
      </c>
      <c r="K1668" s="168">
        <f t="shared" si="296"/>
        <v>2265580</v>
      </c>
      <c r="L1668" s="58"/>
      <c r="M1668" s="168">
        <f>M1680</f>
        <v>460000</v>
      </c>
      <c r="N1668" s="168">
        <f>N1680</f>
        <v>109000</v>
      </c>
      <c r="O1668" s="168">
        <f t="shared" si="297"/>
        <v>569000</v>
      </c>
      <c r="P1668" s="59"/>
      <c r="Q1668" s="169">
        <f t="shared" si="298"/>
        <v>2720730</v>
      </c>
      <c r="R1668" s="169">
        <f t="shared" si="299"/>
        <v>113850</v>
      </c>
      <c r="S1668" s="169">
        <f t="shared" si="300"/>
        <v>2834580</v>
      </c>
    </row>
    <row r="1669" spans="2:19" x14ac:dyDescent="0.2">
      <c r="B1669" s="48">
        <f t="shared" si="295"/>
        <v>103</v>
      </c>
      <c r="C1669" s="9"/>
      <c r="D1669" s="9"/>
      <c r="E1669" s="9"/>
      <c r="F1669" s="61" t="s">
        <v>77</v>
      </c>
      <c r="G1669" s="8">
        <v>610</v>
      </c>
      <c r="H1669" s="9" t="s">
        <v>132</v>
      </c>
      <c r="I1669" s="62">
        <f>812000+130000+170000+3000</f>
        <v>1115000</v>
      </c>
      <c r="J1669" s="62"/>
      <c r="K1669" s="62">
        <f t="shared" si="296"/>
        <v>1115000</v>
      </c>
      <c r="L1669" s="62"/>
      <c r="M1669" s="62"/>
      <c r="N1669" s="62"/>
      <c r="O1669" s="62">
        <f t="shared" si="297"/>
        <v>0</v>
      </c>
      <c r="P1669" s="63"/>
      <c r="Q1669" s="64">
        <f t="shared" ref="Q1669:Q1700" si="301">I1669+M1669</f>
        <v>1115000</v>
      </c>
      <c r="R1669" s="64">
        <f t="shared" ref="R1669:R1700" si="302">J1669+N1669</f>
        <v>0</v>
      </c>
      <c r="S1669" s="64">
        <f t="shared" ref="S1669:S1700" si="303">K1669+O1669</f>
        <v>1115000</v>
      </c>
    </row>
    <row r="1670" spans="2:19" x14ac:dyDescent="0.2">
      <c r="B1670" s="48">
        <f t="shared" si="295"/>
        <v>104</v>
      </c>
      <c r="C1670" s="9"/>
      <c r="D1670" s="9"/>
      <c r="E1670" s="9"/>
      <c r="F1670" s="61" t="s">
        <v>77</v>
      </c>
      <c r="G1670" s="8">
        <v>620</v>
      </c>
      <c r="H1670" s="9" t="s">
        <v>125</v>
      </c>
      <c r="I1670" s="62">
        <f>65840+30000+15360+15610+156100+8920+33450+11150+52900+15000</f>
        <v>404330</v>
      </c>
      <c r="J1670" s="62"/>
      <c r="K1670" s="62">
        <f t="shared" si="296"/>
        <v>404330</v>
      </c>
      <c r="L1670" s="62"/>
      <c r="M1670" s="62"/>
      <c r="N1670" s="62"/>
      <c r="O1670" s="62">
        <f t="shared" si="297"/>
        <v>0</v>
      </c>
      <c r="P1670" s="63"/>
      <c r="Q1670" s="64">
        <f t="shared" si="301"/>
        <v>404330</v>
      </c>
      <c r="R1670" s="64">
        <f t="shared" si="302"/>
        <v>0</v>
      </c>
      <c r="S1670" s="64">
        <f t="shared" si="303"/>
        <v>404330</v>
      </c>
    </row>
    <row r="1671" spans="2:19" x14ac:dyDescent="0.2">
      <c r="B1671" s="48">
        <f t="shared" si="295"/>
        <v>105</v>
      </c>
      <c r="C1671" s="9"/>
      <c r="D1671" s="9"/>
      <c r="E1671" s="9"/>
      <c r="F1671" s="61" t="s">
        <v>77</v>
      </c>
      <c r="G1671" s="8">
        <v>630</v>
      </c>
      <c r="H1671" s="9" t="s">
        <v>122</v>
      </c>
      <c r="I1671" s="62">
        <f>I1678+I1677+I1676+I1675+I1674+I1673+I1672</f>
        <v>681400</v>
      </c>
      <c r="J1671" s="62">
        <f>J1678+J1677+J1676+J1675+J1674+J1673+J1672</f>
        <v>4850</v>
      </c>
      <c r="K1671" s="62">
        <f t="shared" si="296"/>
        <v>686250</v>
      </c>
      <c r="L1671" s="62"/>
      <c r="M1671" s="62"/>
      <c r="N1671" s="62"/>
      <c r="O1671" s="62">
        <f t="shared" si="297"/>
        <v>0</v>
      </c>
      <c r="P1671" s="63"/>
      <c r="Q1671" s="64">
        <f t="shared" si="301"/>
        <v>681400</v>
      </c>
      <c r="R1671" s="64">
        <f t="shared" si="302"/>
        <v>4850</v>
      </c>
      <c r="S1671" s="64">
        <f t="shared" si="303"/>
        <v>686250</v>
      </c>
    </row>
    <row r="1672" spans="2:19" x14ac:dyDescent="0.2">
      <c r="B1672" s="48">
        <f t="shared" si="295"/>
        <v>106</v>
      </c>
      <c r="C1672" s="11"/>
      <c r="D1672" s="11"/>
      <c r="E1672" s="11"/>
      <c r="F1672" s="65"/>
      <c r="G1672" s="10">
        <v>631</v>
      </c>
      <c r="H1672" s="11" t="s">
        <v>128</v>
      </c>
      <c r="I1672" s="66">
        <v>200</v>
      </c>
      <c r="J1672" s="66"/>
      <c r="K1672" s="66">
        <f t="shared" si="296"/>
        <v>200</v>
      </c>
      <c r="L1672" s="66"/>
      <c r="M1672" s="66"/>
      <c r="N1672" s="66"/>
      <c r="O1672" s="66">
        <f t="shared" si="297"/>
        <v>0</v>
      </c>
      <c r="P1672" s="67"/>
      <c r="Q1672" s="68">
        <f t="shared" si="301"/>
        <v>200</v>
      </c>
      <c r="R1672" s="68">
        <f t="shared" si="302"/>
        <v>0</v>
      </c>
      <c r="S1672" s="68">
        <f t="shared" si="303"/>
        <v>200</v>
      </c>
    </row>
    <row r="1673" spans="2:19" x14ac:dyDescent="0.2">
      <c r="B1673" s="48">
        <f t="shared" si="295"/>
        <v>107</v>
      </c>
      <c r="C1673" s="11"/>
      <c r="D1673" s="11"/>
      <c r="E1673" s="11"/>
      <c r="F1673" s="65"/>
      <c r="G1673" s="10">
        <v>632</v>
      </c>
      <c r="H1673" s="11" t="s">
        <v>135</v>
      </c>
      <c r="I1673" s="66">
        <v>235000</v>
      </c>
      <c r="J1673" s="66"/>
      <c r="K1673" s="66">
        <f t="shared" si="296"/>
        <v>235000</v>
      </c>
      <c r="L1673" s="66"/>
      <c r="M1673" s="66"/>
      <c r="N1673" s="66"/>
      <c r="O1673" s="66">
        <f t="shared" si="297"/>
        <v>0</v>
      </c>
      <c r="P1673" s="67"/>
      <c r="Q1673" s="68">
        <f t="shared" si="301"/>
        <v>235000</v>
      </c>
      <c r="R1673" s="68">
        <f t="shared" si="302"/>
        <v>0</v>
      </c>
      <c r="S1673" s="68">
        <f t="shared" si="303"/>
        <v>235000</v>
      </c>
    </row>
    <row r="1674" spans="2:19" x14ac:dyDescent="0.2">
      <c r="B1674" s="48">
        <f t="shared" si="295"/>
        <v>108</v>
      </c>
      <c r="C1674" s="11"/>
      <c r="D1674" s="11"/>
      <c r="E1674" s="11"/>
      <c r="F1674" s="65"/>
      <c r="G1674" s="10">
        <v>633</v>
      </c>
      <c r="H1674" s="11" t="s">
        <v>126</v>
      </c>
      <c r="I1674" s="66">
        <v>44000</v>
      </c>
      <c r="J1674" s="66">
        <v>4850</v>
      </c>
      <c r="K1674" s="66">
        <f t="shared" si="296"/>
        <v>48850</v>
      </c>
      <c r="L1674" s="66"/>
      <c r="M1674" s="66"/>
      <c r="N1674" s="66"/>
      <c r="O1674" s="66">
        <f t="shared" si="297"/>
        <v>0</v>
      </c>
      <c r="P1674" s="67"/>
      <c r="Q1674" s="68">
        <f t="shared" si="301"/>
        <v>44000</v>
      </c>
      <c r="R1674" s="68">
        <f t="shared" si="302"/>
        <v>4850</v>
      </c>
      <c r="S1674" s="68">
        <f t="shared" si="303"/>
        <v>48850</v>
      </c>
    </row>
    <row r="1675" spans="2:19" x14ac:dyDescent="0.2">
      <c r="B1675" s="48">
        <f t="shared" ref="B1675:B1700" si="304">B1674+1</f>
        <v>109</v>
      </c>
      <c r="C1675" s="11"/>
      <c r="D1675" s="11"/>
      <c r="E1675" s="11"/>
      <c r="F1675" s="65"/>
      <c r="G1675" s="10">
        <v>634</v>
      </c>
      <c r="H1675" s="11" t="s">
        <v>133</v>
      </c>
      <c r="I1675" s="66">
        <v>1200</v>
      </c>
      <c r="J1675" s="66"/>
      <c r="K1675" s="66">
        <f t="shared" si="296"/>
        <v>1200</v>
      </c>
      <c r="L1675" s="66"/>
      <c r="M1675" s="66"/>
      <c r="N1675" s="66"/>
      <c r="O1675" s="66">
        <f t="shared" si="297"/>
        <v>0</v>
      </c>
      <c r="P1675" s="67"/>
      <c r="Q1675" s="68">
        <f t="shared" si="301"/>
        <v>1200</v>
      </c>
      <c r="R1675" s="68">
        <f t="shared" si="302"/>
        <v>0</v>
      </c>
      <c r="S1675" s="68">
        <f t="shared" si="303"/>
        <v>1200</v>
      </c>
    </row>
    <row r="1676" spans="2:19" x14ac:dyDescent="0.2">
      <c r="B1676" s="48">
        <f t="shared" si="304"/>
        <v>110</v>
      </c>
      <c r="C1676" s="11"/>
      <c r="D1676" s="11"/>
      <c r="E1676" s="11"/>
      <c r="F1676" s="65"/>
      <c r="G1676" s="10">
        <v>635</v>
      </c>
      <c r="H1676" s="11" t="s">
        <v>134</v>
      </c>
      <c r="I1676" s="66">
        <v>50000</v>
      </c>
      <c r="J1676" s="66"/>
      <c r="K1676" s="66">
        <f t="shared" si="296"/>
        <v>50000</v>
      </c>
      <c r="L1676" s="66"/>
      <c r="M1676" s="66"/>
      <c r="N1676" s="66"/>
      <c r="O1676" s="66">
        <f t="shared" si="297"/>
        <v>0</v>
      </c>
      <c r="P1676" s="67"/>
      <c r="Q1676" s="68">
        <f t="shared" si="301"/>
        <v>50000</v>
      </c>
      <c r="R1676" s="68">
        <f t="shared" si="302"/>
        <v>0</v>
      </c>
      <c r="S1676" s="68">
        <f t="shared" si="303"/>
        <v>50000</v>
      </c>
    </row>
    <row r="1677" spans="2:19" s="164" customFormat="1" x14ac:dyDescent="0.2">
      <c r="B1677" s="48">
        <f t="shared" si="304"/>
        <v>111</v>
      </c>
      <c r="C1677" s="11"/>
      <c r="D1677" s="11"/>
      <c r="E1677" s="11"/>
      <c r="F1677" s="65"/>
      <c r="G1677" s="10">
        <v>636</v>
      </c>
      <c r="H1677" s="11" t="s">
        <v>127</v>
      </c>
      <c r="I1677" s="66">
        <v>1000</v>
      </c>
      <c r="J1677" s="66"/>
      <c r="K1677" s="66">
        <f t="shared" si="296"/>
        <v>1000</v>
      </c>
      <c r="L1677" s="66"/>
      <c r="M1677" s="66"/>
      <c r="N1677" s="66"/>
      <c r="O1677" s="66">
        <f t="shared" si="297"/>
        <v>0</v>
      </c>
      <c r="P1677" s="67"/>
      <c r="Q1677" s="68">
        <f t="shared" si="301"/>
        <v>1000</v>
      </c>
      <c r="R1677" s="68">
        <f t="shared" si="302"/>
        <v>0</v>
      </c>
      <c r="S1677" s="68">
        <f t="shared" si="303"/>
        <v>1000</v>
      </c>
    </row>
    <row r="1678" spans="2:19" x14ac:dyDescent="0.2">
      <c r="B1678" s="48">
        <f t="shared" si="304"/>
        <v>112</v>
      </c>
      <c r="C1678" s="11"/>
      <c r="D1678" s="11"/>
      <c r="E1678" s="11"/>
      <c r="F1678" s="65"/>
      <c r="G1678" s="10">
        <v>637</v>
      </c>
      <c r="H1678" s="11" t="s">
        <v>123</v>
      </c>
      <c r="I1678" s="66">
        <f>280000+70000</f>
        <v>350000</v>
      </c>
      <c r="J1678" s="66"/>
      <c r="K1678" s="66">
        <f t="shared" si="296"/>
        <v>350000</v>
      </c>
      <c r="L1678" s="66"/>
      <c r="M1678" s="66"/>
      <c r="N1678" s="66"/>
      <c r="O1678" s="66">
        <f t="shared" si="297"/>
        <v>0</v>
      </c>
      <c r="P1678" s="67"/>
      <c r="Q1678" s="68">
        <f t="shared" si="301"/>
        <v>350000</v>
      </c>
      <c r="R1678" s="68">
        <f t="shared" si="302"/>
        <v>0</v>
      </c>
      <c r="S1678" s="68">
        <f t="shared" si="303"/>
        <v>350000</v>
      </c>
    </row>
    <row r="1679" spans="2:19" x14ac:dyDescent="0.2">
      <c r="B1679" s="48">
        <f t="shared" si="304"/>
        <v>113</v>
      </c>
      <c r="C1679" s="9"/>
      <c r="D1679" s="9"/>
      <c r="E1679" s="9"/>
      <c r="F1679" s="61" t="s">
        <v>77</v>
      </c>
      <c r="G1679" s="8">
        <v>640</v>
      </c>
      <c r="H1679" s="9" t="s">
        <v>130</v>
      </c>
      <c r="I1679" s="62">
        <v>60000</v>
      </c>
      <c r="J1679" s="62"/>
      <c r="K1679" s="62">
        <f t="shared" si="296"/>
        <v>60000</v>
      </c>
      <c r="L1679" s="62"/>
      <c r="M1679" s="62"/>
      <c r="N1679" s="62"/>
      <c r="O1679" s="62">
        <f t="shared" si="297"/>
        <v>0</v>
      </c>
      <c r="P1679" s="63"/>
      <c r="Q1679" s="64">
        <f t="shared" si="301"/>
        <v>60000</v>
      </c>
      <c r="R1679" s="64">
        <f t="shared" si="302"/>
        <v>0</v>
      </c>
      <c r="S1679" s="64">
        <f t="shared" si="303"/>
        <v>60000</v>
      </c>
    </row>
    <row r="1680" spans="2:19" x14ac:dyDescent="0.2">
      <c r="B1680" s="48">
        <f t="shared" si="304"/>
        <v>114</v>
      </c>
      <c r="C1680" s="9"/>
      <c r="D1680" s="9"/>
      <c r="E1680" s="9"/>
      <c r="F1680" s="61" t="s">
        <v>77</v>
      </c>
      <c r="G1680" s="8">
        <v>710</v>
      </c>
      <c r="H1680" s="9" t="s">
        <v>176</v>
      </c>
      <c r="I1680" s="62"/>
      <c r="J1680" s="62"/>
      <c r="K1680" s="62">
        <f t="shared" si="296"/>
        <v>0</v>
      </c>
      <c r="L1680" s="62"/>
      <c r="M1680" s="62">
        <f>M1683+M1685</f>
        <v>460000</v>
      </c>
      <c r="N1680" s="62">
        <f>N1681+N1683+N1685</f>
        <v>109000</v>
      </c>
      <c r="O1680" s="62">
        <f t="shared" si="297"/>
        <v>569000</v>
      </c>
      <c r="P1680" s="63"/>
      <c r="Q1680" s="64">
        <f t="shared" si="301"/>
        <v>460000</v>
      </c>
      <c r="R1680" s="64">
        <f t="shared" si="302"/>
        <v>109000</v>
      </c>
      <c r="S1680" s="64">
        <f t="shared" si="303"/>
        <v>569000</v>
      </c>
    </row>
    <row r="1681" spans="2:19" x14ac:dyDescent="0.2">
      <c r="B1681" s="48">
        <f t="shared" si="304"/>
        <v>115</v>
      </c>
      <c r="C1681" s="13"/>
      <c r="D1681" s="13"/>
      <c r="E1681" s="13"/>
      <c r="F1681" s="188"/>
      <c r="G1681" s="10">
        <v>713</v>
      </c>
      <c r="H1681" s="11" t="s">
        <v>219</v>
      </c>
      <c r="I1681" s="66"/>
      <c r="J1681" s="66"/>
      <c r="K1681" s="66">
        <f>I1681+J1681</f>
        <v>0</v>
      </c>
      <c r="L1681" s="66"/>
      <c r="M1681" s="66">
        <f>M1682</f>
        <v>0</v>
      </c>
      <c r="N1681" s="66">
        <f>N1682</f>
        <v>4000</v>
      </c>
      <c r="O1681" s="66">
        <f>M1681+N1681</f>
        <v>4000</v>
      </c>
      <c r="P1681" s="67"/>
      <c r="Q1681" s="85">
        <f t="shared" si="301"/>
        <v>0</v>
      </c>
      <c r="R1681" s="85">
        <f t="shared" si="302"/>
        <v>4000</v>
      </c>
      <c r="S1681" s="85">
        <f t="shared" si="303"/>
        <v>4000</v>
      </c>
    </row>
    <row r="1682" spans="2:19" x14ac:dyDescent="0.2">
      <c r="B1682" s="48">
        <f t="shared" si="304"/>
        <v>116</v>
      </c>
      <c r="C1682" s="13"/>
      <c r="D1682" s="13"/>
      <c r="E1682" s="13"/>
      <c r="F1682" s="188"/>
      <c r="G1682" s="82"/>
      <c r="H1682" s="13" t="s">
        <v>627</v>
      </c>
      <c r="I1682" s="83"/>
      <c r="J1682" s="83"/>
      <c r="K1682" s="83">
        <f>I1682+J1682</f>
        <v>0</v>
      </c>
      <c r="L1682" s="83"/>
      <c r="M1682" s="83"/>
      <c r="N1682" s="83">
        <v>4000</v>
      </c>
      <c r="O1682" s="83">
        <f>M1682+N1682</f>
        <v>4000</v>
      </c>
      <c r="P1682" s="84"/>
      <c r="Q1682" s="85">
        <f t="shared" si="301"/>
        <v>0</v>
      </c>
      <c r="R1682" s="85">
        <f t="shared" si="302"/>
        <v>4000</v>
      </c>
      <c r="S1682" s="85">
        <f t="shared" si="303"/>
        <v>4000</v>
      </c>
    </row>
    <row r="1683" spans="2:19" x14ac:dyDescent="0.2">
      <c r="B1683" s="48">
        <f t="shared" si="304"/>
        <v>117</v>
      </c>
      <c r="C1683" s="13"/>
      <c r="D1683" s="13"/>
      <c r="E1683" s="13"/>
      <c r="F1683" s="188"/>
      <c r="G1683" s="10">
        <v>716</v>
      </c>
      <c r="H1683" s="11" t="s">
        <v>216</v>
      </c>
      <c r="I1683" s="66"/>
      <c r="J1683" s="66"/>
      <c r="K1683" s="66">
        <f t="shared" si="296"/>
        <v>0</v>
      </c>
      <c r="L1683" s="66"/>
      <c r="M1683" s="66">
        <f>M1684</f>
        <v>10000</v>
      </c>
      <c r="N1683" s="66">
        <f>N1684</f>
        <v>0</v>
      </c>
      <c r="O1683" s="66">
        <f t="shared" si="297"/>
        <v>10000</v>
      </c>
      <c r="P1683" s="67"/>
      <c r="Q1683" s="85">
        <f t="shared" si="301"/>
        <v>10000</v>
      </c>
      <c r="R1683" s="85">
        <f t="shared" si="302"/>
        <v>0</v>
      </c>
      <c r="S1683" s="85">
        <f t="shared" si="303"/>
        <v>10000</v>
      </c>
    </row>
    <row r="1684" spans="2:19" x14ac:dyDescent="0.2">
      <c r="B1684" s="48">
        <f t="shared" si="304"/>
        <v>118</v>
      </c>
      <c r="C1684" s="13"/>
      <c r="D1684" s="13"/>
      <c r="E1684" s="13"/>
      <c r="F1684" s="188"/>
      <c r="G1684" s="82"/>
      <c r="H1684" s="13" t="s">
        <v>417</v>
      </c>
      <c r="I1684" s="83"/>
      <c r="J1684" s="83"/>
      <c r="K1684" s="83">
        <f t="shared" si="296"/>
        <v>0</v>
      </c>
      <c r="L1684" s="83"/>
      <c r="M1684" s="83">
        <v>10000</v>
      </c>
      <c r="N1684" s="83"/>
      <c r="O1684" s="83">
        <f t="shared" si="297"/>
        <v>10000</v>
      </c>
      <c r="P1684" s="84"/>
      <c r="Q1684" s="85">
        <f t="shared" si="301"/>
        <v>10000</v>
      </c>
      <c r="R1684" s="85">
        <f t="shared" si="302"/>
        <v>0</v>
      </c>
      <c r="S1684" s="85">
        <f t="shared" si="303"/>
        <v>10000</v>
      </c>
    </row>
    <row r="1685" spans="2:19" x14ac:dyDescent="0.2">
      <c r="B1685" s="48">
        <f t="shared" si="304"/>
        <v>119</v>
      </c>
      <c r="C1685" s="11"/>
      <c r="D1685" s="11"/>
      <c r="E1685" s="11"/>
      <c r="F1685" s="65"/>
      <c r="G1685" s="10">
        <v>717</v>
      </c>
      <c r="H1685" s="11" t="s">
        <v>183</v>
      </c>
      <c r="I1685" s="66"/>
      <c r="J1685" s="66"/>
      <c r="K1685" s="66">
        <f t="shared" si="296"/>
        <v>0</v>
      </c>
      <c r="L1685" s="66"/>
      <c r="M1685" s="66">
        <f>M1686</f>
        <v>450000</v>
      </c>
      <c r="N1685" s="66">
        <f>N1686+N1687+N1688</f>
        <v>105000</v>
      </c>
      <c r="O1685" s="66">
        <f t="shared" si="297"/>
        <v>555000</v>
      </c>
      <c r="P1685" s="67"/>
      <c r="Q1685" s="85">
        <f t="shared" si="301"/>
        <v>450000</v>
      </c>
      <c r="R1685" s="85">
        <f t="shared" si="302"/>
        <v>105000</v>
      </c>
      <c r="S1685" s="85">
        <f t="shared" si="303"/>
        <v>555000</v>
      </c>
    </row>
    <row r="1686" spans="2:19" x14ac:dyDescent="0.2">
      <c r="B1686" s="48">
        <f t="shared" si="304"/>
        <v>120</v>
      </c>
      <c r="C1686" s="13"/>
      <c r="D1686" s="13"/>
      <c r="E1686" s="13"/>
      <c r="F1686" s="188"/>
      <c r="G1686" s="82"/>
      <c r="H1686" s="13" t="s">
        <v>417</v>
      </c>
      <c r="I1686" s="83"/>
      <c r="J1686" s="83"/>
      <c r="K1686" s="83">
        <f t="shared" si="296"/>
        <v>0</v>
      </c>
      <c r="L1686" s="83"/>
      <c r="M1686" s="83">
        <v>450000</v>
      </c>
      <c r="N1686" s="83"/>
      <c r="O1686" s="83">
        <f t="shared" si="297"/>
        <v>450000</v>
      </c>
      <c r="P1686" s="84"/>
      <c r="Q1686" s="85">
        <f t="shared" si="301"/>
        <v>450000</v>
      </c>
      <c r="R1686" s="85">
        <f t="shared" si="302"/>
        <v>0</v>
      </c>
      <c r="S1686" s="85">
        <f t="shared" si="303"/>
        <v>450000</v>
      </c>
    </row>
    <row r="1687" spans="2:19" x14ac:dyDescent="0.2">
      <c r="B1687" s="48">
        <f t="shared" si="304"/>
        <v>121</v>
      </c>
      <c r="C1687" s="13"/>
      <c r="D1687" s="13"/>
      <c r="E1687" s="13"/>
      <c r="F1687" s="188"/>
      <c r="G1687" s="82"/>
      <c r="H1687" s="13" t="s">
        <v>625</v>
      </c>
      <c r="I1687" s="83"/>
      <c r="J1687" s="83"/>
      <c r="K1687" s="83"/>
      <c r="L1687" s="83"/>
      <c r="M1687" s="83">
        <v>0</v>
      </c>
      <c r="N1687" s="83">
        <v>65000</v>
      </c>
      <c r="O1687" s="83">
        <f t="shared" si="297"/>
        <v>65000</v>
      </c>
      <c r="P1687" s="84"/>
      <c r="Q1687" s="85">
        <f t="shared" si="301"/>
        <v>0</v>
      </c>
      <c r="R1687" s="85">
        <f t="shared" si="302"/>
        <v>65000</v>
      </c>
      <c r="S1687" s="85">
        <f t="shared" si="303"/>
        <v>65000</v>
      </c>
    </row>
    <row r="1688" spans="2:19" x14ac:dyDescent="0.2">
      <c r="B1688" s="48">
        <f t="shared" si="304"/>
        <v>122</v>
      </c>
      <c r="C1688" s="13"/>
      <c r="D1688" s="13"/>
      <c r="E1688" s="13"/>
      <c r="F1688" s="188"/>
      <c r="G1688" s="82"/>
      <c r="H1688" s="13" t="s">
        <v>626</v>
      </c>
      <c r="I1688" s="83"/>
      <c r="J1688" s="83"/>
      <c r="K1688" s="83"/>
      <c r="L1688" s="83"/>
      <c r="M1688" s="83">
        <v>0</v>
      </c>
      <c r="N1688" s="83">
        <v>40000</v>
      </c>
      <c r="O1688" s="83">
        <f t="shared" si="297"/>
        <v>40000</v>
      </c>
      <c r="P1688" s="84"/>
      <c r="Q1688" s="85">
        <f t="shared" si="301"/>
        <v>0</v>
      </c>
      <c r="R1688" s="85">
        <f t="shared" si="302"/>
        <v>40000</v>
      </c>
      <c r="S1688" s="85">
        <f t="shared" si="303"/>
        <v>40000</v>
      </c>
    </row>
    <row r="1689" spans="2:19" ht="15" x14ac:dyDescent="0.2">
      <c r="B1689" s="48">
        <f t="shared" si="304"/>
        <v>123</v>
      </c>
      <c r="C1689" s="51">
        <v>7</v>
      </c>
      <c r="D1689" s="435" t="s">
        <v>52</v>
      </c>
      <c r="E1689" s="436"/>
      <c r="F1689" s="436"/>
      <c r="G1689" s="436"/>
      <c r="H1689" s="436"/>
      <c r="I1689" s="52">
        <f>I1690</f>
        <v>1178595</v>
      </c>
      <c r="J1689" s="52">
        <f>J1690</f>
        <v>-2700</v>
      </c>
      <c r="K1689" s="52">
        <f t="shared" si="296"/>
        <v>1175895</v>
      </c>
      <c r="L1689" s="53"/>
      <c r="M1689" s="52"/>
      <c r="N1689" s="52"/>
      <c r="O1689" s="52">
        <f t="shared" si="297"/>
        <v>0</v>
      </c>
      <c r="P1689" s="54"/>
      <c r="Q1689" s="72">
        <f t="shared" si="301"/>
        <v>1178595</v>
      </c>
      <c r="R1689" s="72">
        <f t="shared" si="302"/>
        <v>-2700</v>
      </c>
      <c r="S1689" s="72">
        <f t="shared" si="303"/>
        <v>1175895</v>
      </c>
    </row>
    <row r="1690" spans="2:19" ht="15" x14ac:dyDescent="0.25">
      <c r="B1690" s="48">
        <f t="shared" si="304"/>
        <v>124</v>
      </c>
      <c r="C1690" s="166"/>
      <c r="D1690" s="166"/>
      <c r="E1690" s="166">
        <v>5</v>
      </c>
      <c r="F1690" s="167"/>
      <c r="G1690" s="167"/>
      <c r="H1690" s="166" t="s">
        <v>107</v>
      </c>
      <c r="I1690" s="168">
        <f>I1691+I1692+I1693+I1699</f>
        <v>1178595</v>
      </c>
      <c r="J1690" s="168">
        <f>J1691+J1692+J1693+J1699</f>
        <v>-2700</v>
      </c>
      <c r="K1690" s="168">
        <f t="shared" si="296"/>
        <v>1175895</v>
      </c>
      <c r="L1690" s="58"/>
      <c r="M1690" s="168"/>
      <c r="N1690" s="168"/>
      <c r="O1690" s="168">
        <f t="shared" si="297"/>
        <v>0</v>
      </c>
      <c r="P1690" s="59"/>
      <c r="Q1690" s="169">
        <f t="shared" si="301"/>
        <v>1178595</v>
      </c>
      <c r="R1690" s="169">
        <f t="shared" si="302"/>
        <v>-2700</v>
      </c>
      <c r="S1690" s="169">
        <f t="shared" si="303"/>
        <v>1175895</v>
      </c>
    </row>
    <row r="1691" spans="2:19" x14ac:dyDescent="0.2">
      <c r="B1691" s="48">
        <f t="shared" si="304"/>
        <v>125</v>
      </c>
      <c r="C1691" s="9"/>
      <c r="D1691" s="9"/>
      <c r="E1691" s="9"/>
      <c r="F1691" s="61" t="s">
        <v>77</v>
      </c>
      <c r="G1691" s="8">
        <v>610</v>
      </c>
      <c r="H1691" s="9" t="s">
        <v>132</v>
      </c>
      <c r="I1691" s="62">
        <f>760284+13700+3700+600+1</f>
        <v>778285</v>
      </c>
      <c r="J1691" s="62">
        <v>-2700</v>
      </c>
      <c r="K1691" s="62">
        <f t="shared" si="296"/>
        <v>775585</v>
      </c>
      <c r="L1691" s="62"/>
      <c r="M1691" s="62"/>
      <c r="N1691" s="62"/>
      <c r="O1691" s="62">
        <f t="shared" si="297"/>
        <v>0</v>
      </c>
      <c r="P1691" s="63"/>
      <c r="Q1691" s="64">
        <f t="shared" si="301"/>
        <v>778285</v>
      </c>
      <c r="R1691" s="64">
        <f t="shared" si="302"/>
        <v>-2700</v>
      </c>
      <c r="S1691" s="64">
        <f t="shared" si="303"/>
        <v>775585</v>
      </c>
    </row>
    <row r="1692" spans="2:19" x14ac:dyDescent="0.2">
      <c r="B1692" s="48">
        <f t="shared" si="304"/>
        <v>126</v>
      </c>
      <c r="C1692" s="9"/>
      <c r="D1692" s="9"/>
      <c r="E1692" s="9"/>
      <c r="F1692" s="61" t="s">
        <v>77</v>
      </c>
      <c r="G1692" s="8">
        <v>620</v>
      </c>
      <c r="H1692" s="9" t="s">
        <v>125</v>
      </c>
      <c r="I1692" s="62">
        <f>47200+16750+13850+10890+108900+6230+23330+7780+36940+14500</f>
        <v>286370</v>
      </c>
      <c r="J1692" s="62"/>
      <c r="K1692" s="62">
        <f t="shared" si="296"/>
        <v>286370</v>
      </c>
      <c r="L1692" s="62"/>
      <c r="M1692" s="62"/>
      <c r="N1692" s="62"/>
      <c r="O1692" s="62">
        <f t="shared" si="297"/>
        <v>0</v>
      </c>
      <c r="P1692" s="63"/>
      <c r="Q1692" s="64">
        <f t="shared" si="301"/>
        <v>286370</v>
      </c>
      <c r="R1692" s="64">
        <f t="shared" si="302"/>
        <v>0</v>
      </c>
      <c r="S1692" s="64">
        <f t="shared" si="303"/>
        <v>286370</v>
      </c>
    </row>
    <row r="1693" spans="2:19" x14ac:dyDescent="0.2">
      <c r="B1693" s="48">
        <f t="shared" si="304"/>
        <v>127</v>
      </c>
      <c r="C1693" s="9"/>
      <c r="D1693" s="9"/>
      <c r="E1693" s="9"/>
      <c r="F1693" s="61" t="s">
        <v>77</v>
      </c>
      <c r="G1693" s="8">
        <v>630</v>
      </c>
      <c r="H1693" s="9" t="s">
        <v>122</v>
      </c>
      <c r="I1693" s="62">
        <f>I1698+I1697+I1696+I1695+I1694</f>
        <v>45440</v>
      </c>
      <c r="J1693" s="62">
        <f>J1698+J1697+J1696+J1695+J1694</f>
        <v>0</v>
      </c>
      <c r="K1693" s="62">
        <f t="shared" si="296"/>
        <v>45440</v>
      </c>
      <c r="L1693" s="62"/>
      <c r="M1693" s="62"/>
      <c r="N1693" s="62"/>
      <c r="O1693" s="62">
        <f t="shared" si="297"/>
        <v>0</v>
      </c>
      <c r="P1693" s="63"/>
      <c r="Q1693" s="64">
        <f t="shared" si="301"/>
        <v>45440</v>
      </c>
      <c r="R1693" s="64">
        <f t="shared" si="302"/>
        <v>0</v>
      </c>
      <c r="S1693" s="64">
        <f t="shared" si="303"/>
        <v>45440</v>
      </c>
    </row>
    <row r="1694" spans="2:19" x14ac:dyDescent="0.2">
      <c r="B1694" s="48">
        <f t="shared" si="304"/>
        <v>128</v>
      </c>
      <c r="C1694" s="11"/>
      <c r="D1694" s="11"/>
      <c r="E1694" s="11"/>
      <c r="F1694" s="65"/>
      <c r="G1694" s="10">
        <v>631</v>
      </c>
      <c r="H1694" s="11" t="s">
        <v>128</v>
      </c>
      <c r="I1694" s="66">
        <v>500</v>
      </c>
      <c r="J1694" s="66"/>
      <c r="K1694" s="66">
        <f t="shared" si="296"/>
        <v>500</v>
      </c>
      <c r="L1694" s="66"/>
      <c r="M1694" s="66"/>
      <c r="N1694" s="66"/>
      <c r="O1694" s="66">
        <f t="shared" si="297"/>
        <v>0</v>
      </c>
      <c r="P1694" s="67"/>
      <c r="Q1694" s="68">
        <f t="shared" si="301"/>
        <v>500</v>
      </c>
      <c r="R1694" s="68">
        <f t="shared" si="302"/>
        <v>0</v>
      </c>
      <c r="S1694" s="68">
        <f t="shared" si="303"/>
        <v>500</v>
      </c>
    </row>
    <row r="1695" spans="2:19" x14ac:dyDescent="0.2">
      <c r="B1695" s="48">
        <f t="shared" si="304"/>
        <v>129</v>
      </c>
      <c r="C1695" s="11"/>
      <c r="D1695" s="11"/>
      <c r="E1695" s="11"/>
      <c r="F1695" s="65"/>
      <c r="G1695" s="10">
        <v>632</v>
      </c>
      <c r="H1695" s="11" t="s">
        <v>135</v>
      </c>
      <c r="I1695" s="66">
        <v>730</v>
      </c>
      <c r="J1695" s="66"/>
      <c r="K1695" s="66">
        <f t="shared" si="296"/>
        <v>730</v>
      </c>
      <c r="L1695" s="66"/>
      <c r="M1695" s="66"/>
      <c r="N1695" s="66"/>
      <c r="O1695" s="66">
        <f t="shared" si="297"/>
        <v>0</v>
      </c>
      <c r="P1695" s="67"/>
      <c r="Q1695" s="68">
        <f t="shared" si="301"/>
        <v>730</v>
      </c>
      <c r="R1695" s="68">
        <f t="shared" si="302"/>
        <v>0</v>
      </c>
      <c r="S1695" s="68">
        <f t="shared" si="303"/>
        <v>730</v>
      </c>
    </row>
    <row r="1696" spans="2:19" x14ac:dyDescent="0.2">
      <c r="B1696" s="48">
        <f t="shared" si="304"/>
        <v>130</v>
      </c>
      <c r="C1696" s="11"/>
      <c r="D1696" s="11"/>
      <c r="E1696" s="11"/>
      <c r="F1696" s="65"/>
      <c r="G1696" s="10">
        <v>633</v>
      </c>
      <c r="H1696" s="11" t="s">
        <v>126</v>
      </c>
      <c r="I1696" s="66">
        <f>300+610+4500</f>
        <v>5410</v>
      </c>
      <c r="J1696" s="66"/>
      <c r="K1696" s="66">
        <f t="shared" si="296"/>
        <v>5410</v>
      </c>
      <c r="L1696" s="66"/>
      <c r="M1696" s="66"/>
      <c r="N1696" s="66"/>
      <c r="O1696" s="66">
        <f t="shared" si="297"/>
        <v>0</v>
      </c>
      <c r="P1696" s="67"/>
      <c r="Q1696" s="68">
        <f t="shared" si="301"/>
        <v>5410</v>
      </c>
      <c r="R1696" s="68">
        <f t="shared" si="302"/>
        <v>0</v>
      </c>
      <c r="S1696" s="68">
        <f t="shared" si="303"/>
        <v>5410</v>
      </c>
    </row>
    <row r="1697" spans="2:19" x14ac:dyDescent="0.2">
      <c r="B1697" s="48">
        <f t="shared" si="304"/>
        <v>131</v>
      </c>
      <c r="C1697" s="11"/>
      <c r="D1697" s="11"/>
      <c r="E1697" s="11"/>
      <c r="F1697" s="65"/>
      <c r="G1697" s="10">
        <v>634</v>
      </c>
      <c r="H1697" s="11" t="s">
        <v>133</v>
      </c>
      <c r="I1697" s="66">
        <v>6600</v>
      </c>
      <c r="J1697" s="66"/>
      <c r="K1697" s="66">
        <f t="shared" si="296"/>
        <v>6600</v>
      </c>
      <c r="L1697" s="66"/>
      <c r="M1697" s="66"/>
      <c r="N1697" s="66"/>
      <c r="O1697" s="66">
        <f t="shared" si="297"/>
        <v>0</v>
      </c>
      <c r="P1697" s="67"/>
      <c r="Q1697" s="68">
        <f t="shared" si="301"/>
        <v>6600</v>
      </c>
      <c r="R1697" s="68">
        <f t="shared" si="302"/>
        <v>0</v>
      </c>
      <c r="S1697" s="68">
        <f t="shared" si="303"/>
        <v>6600</v>
      </c>
    </row>
    <row r="1698" spans="2:19" x14ac:dyDescent="0.2">
      <c r="B1698" s="48">
        <f t="shared" si="304"/>
        <v>132</v>
      </c>
      <c r="C1698" s="11"/>
      <c r="D1698" s="11"/>
      <c r="E1698" s="11"/>
      <c r="F1698" s="65"/>
      <c r="G1698" s="10">
        <v>637</v>
      </c>
      <c r="H1698" s="11" t="s">
        <v>123</v>
      </c>
      <c r="I1698" s="66">
        <v>32200</v>
      </c>
      <c r="J1698" s="66"/>
      <c r="K1698" s="66">
        <f t="shared" si="296"/>
        <v>32200</v>
      </c>
      <c r="L1698" s="66"/>
      <c r="M1698" s="66"/>
      <c r="N1698" s="66"/>
      <c r="O1698" s="66">
        <f t="shared" si="297"/>
        <v>0</v>
      </c>
      <c r="P1698" s="67"/>
      <c r="Q1698" s="68">
        <f t="shared" si="301"/>
        <v>32200</v>
      </c>
      <c r="R1698" s="68">
        <f t="shared" si="302"/>
        <v>0</v>
      </c>
      <c r="S1698" s="68">
        <f t="shared" si="303"/>
        <v>32200</v>
      </c>
    </row>
    <row r="1699" spans="2:19" x14ac:dyDescent="0.2">
      <c r="B1699" s="48">
        <f t="shared" si="304"/>
        <v>133</v>
      </c>
      <c r="C1699" s="9"/>
      <c r="D1699" s="9"/>
      <c r="E1699" s="9"/>
      <c r="F1699" s="61" t="s">
        <v>77</v>
      </c>
      <c r="G1699" s="8">
        <v>640</v>
      </c>
      <c r="H1699" s="9" t="s">
        <v>130</v>
      </c>
      <c r="I1699" s="62">
        <f>23250+34050+11200</f>
        <v>68500</v>
      </c>
      <c r="J1699" s="62"/>
      <c r="K1699" s="62">
        <f t="shared" si="296"/>
        <v>68500</v>
      </c>
      <c r="L1699" s="62"/>
      <c r="M1699" s="62"/>
      <c r="N1699" s="62"/>
      <c r="O1699" s="62">
        <f t="shared" si="297"/>
        <v>0</v>
      </c>
      <c r="P1699" s="63"/>
      <c r="Q1699" s="64">
        <f t="shared" si="301"/>
        <v>68500</v>
      </c>
      <c r="R1699" s="64">
        <f t="shared" si="302"/>
        <v>0</v>
      </c>
      <c r="S1699" s="64">
        <f t="shared" si="303"/>
        <v>68500</v>
      </c>
    </row>
    <row r="1700" spans="2:19" ht="15" x14ac:dyDescent="0.2">
      <c r="B1700" s="48">
        <f t="shared" si="304"/>
        <v>134</v>
      </c>
      <c r="C1700" s="51">
        <v>8</v>
      </c>
      <c r="D1700" s="435" t="s">
        <v>195</v>
      </c>
      <c r="E1700" s="436"/>
      <c r="F1700" s="436"/>
      <c r="G1700" s="436"/>
      <c r="H1700" s="436"/>
      <c r="I1700" s="52">
        <f>I1701</f>
        <v>6650</v>
      </c>
      <c r="J1700" s="52">
        <f>J1701</f>
        <v>0</v>
      </c>
      <c r="K1700" s="52">
        <f t="shared" si="296"/>
        <v>6650</v>
      </c>
      <c r="L1700" s="53"/>
      <c r="M1700" s="52"/>
      <c r="N1700" s="52"/>
      <c r="O1700" s="52">
        <f t="shared" si="297"/>
        <v>0</v>
      </c>
      <c r="P1700" s="54"/>
      <c r="Q1700" s="72">
        <f t="shared" si="301"/>
        <v>6650</v>
      </c>
      <c r="R1700" s="72">
        <f t="shared" si="302"/>
        <v>0</v>
      </c>
      <c r="S1700" s="72">
        <f t="shared" si="303"/>
        <v>6650</v>
      </c>
    </row>
    <row r="1701" spans="2:19" x14ac:dyDescent="0.2">
      <c r="B1701" s="48">
        <f t="shared" ref="B1701:B1735" si="305">B1700+1</f>
        <v>135</v>
      </c>
      <c r="C1701" s="9"/>
      <c r="D1701" s="9"/>
      <c r="E1701" s="9"/>
      <c r="F1701" s="61" t="s">
        <v>145</v>
      </c>
      <c r="G1701" s="8">
        <v>630</v>
      </c>
      <c r="H1701" s="9" t="s">
        <v>122</v>
      </c>
      <c r="I1701" s="62">
        <f>I1702</f>
        <v>6650</v>
      </c>
      <c r="J1701" s="62">
        <f>J1702</f>
        <v>0</v>
      </c>
      <c r="K1701" s="62">
        <f t="shared" ref="K1701:K1735" si="306">I1701+J1701</f>
        <v>6650</v>
      </c>
      <c r="L1701" s="62"/>
      <c r="M1701" s="62"/>
      <c r="N1701" s="62"/>
      <c r="O1701" s="62">
        <f t="shared" ref="O1701:O1735" si="307">M1701+N1701</f>
        <v>0</v>
      </c>
      <c r="P1701" s="63"/>
      <c r="Q1701" s="64">
        <f t="shared" ref="Q1701:Q1735" si="308">I1701+M1701</f>
        <v>6650</v>
      </c>
      <c r="R1701" s="64">
        <f t="shared" ref="R1701:R1735" si="309">J1701+N1701</f>
        <v>0</v>
      </c>
      <c r="S1701" s="64">
        <f t="shared" ref="S1701:S1735" si="310">K1701+O1701</f>
        <v>6650</v>
      </c>
    </row>
    <row r="1702" spans="2:19" x14ac:dyDescent="0.2">
      <c r="B1702" s="48">
        <f t="shared" si="305"/>
        <v>136</v>
      </c>
      <c r="C1702" s="11"/>
      <c r="D1702" s="11"/>
      <c r="E1702" s="11"/>
      <c r="F1702" s="65"/>
      <c r="G1702" s="10">
        <v>637</v>
      </c>
      <c r="H1702" s="11" t="s">
        <v>123</v>
      </c>
      <c r="I1702" s="66">
        <f>7000-350</f>
        <v>6650</v>
      </c>
      <c r="J1702" s="66"/>
      <c r="K1702" s="66">
        <f t="shared" si="306"/>
        <v>6650</v>
      </c>
      <c r="L1702" s="66"/>
      <c r="M1702" s="66"/>
      <c r="N1702" s="66"/>
      <c r="O1702" s="66">
        <f t="shared" si="307"/>
        <v>0</v>
      </c>
      <c r="P1702" s="67"/>
      <c r="Q1702" s="68">
        <f t="shared" si="308"/>
        <v>6650</v>
      </c>
      <c r="R1702" s="68">
        <f t="shared" si="309"/>
        <v>0</v>
      </c>
      <c r="S1702" s="68">
        <f t="shared" si="310"/>
        <v>6650</v>
      </c>
    </row>
    <row r="1703" spans="2:19" s="164" customFormat="1" ht="15" x14ac:dyDescent="0.2">
      <c r="B1703" s="48">
        <f t="shared" si="305"/>
        <v>137</v>
      </c>
      <c r="C1703" s="51">
        <v>9</v>
      </c>
      <c r="D1703" s="435" t="s">
        <v>174</v>
      </c>
      <c r="E1703" s="436"/>
      <c r="F1703" s="436"/>
      <c r="G1703" s="436"/>
      <c r="H1703" s="436"/>
      <c r="I1703" s="52">
        <f>I1704+I1706</f>
        <v>17100</v>
      </c>
      <c r="J1703" s="52">
        <f>J1704+J1706</f>
        <v>0</v>
      </c>
      <c r="K1703" s="52">
        <f t="shared" si="306"/>
        <v>17100</v>
      </c>
      <c r="L1703" s="53"/>
      <c r="M1703" s="52"/>
      <c r="N1703" s="52"/>
      <c r="O1703" s="52">
        <f t="shared" si="307"/>
        <v>0</v>
      </c>
      <c r="P1703" s="54"/>
      <c r="Q1703" s="72">
        <f t="shared" si="308"/>
        <v>17100</v>
      </c>
      <c r="R1703" s="72">
        <f t="shared" si="309"/>
        <v>0</v>
      </c>
      <c r="S1703" s="72">
        <f t="shared" si="310"/>
        <v>17100</v>
      </c>
    </row>
    <row r="1704" spans="2:19" x14ac:dyDescent="0.2">
      <c r="B1704" s="48">
        <f t="shared" si="305"/>
        <v>138</v>
      </c>
      <c r="C1704" s="9"/>
      <c r="D1704" s="9"/>
      <c r="E1704" s="9"/>
      <c r="F1704" s="61" t="s">
        <v>76</v>
      </c>
      <c r="G1704" s="8">
        <v>630</v>
      </c>
      <c r="H1704" s="9" t="s">
        <v>122</v>
      </c>
      <c r="I1704" s="62">
        <f>I1705</f>
        <v>16000</v>
      </c>
      <c r="J1704" s="62">
        <f>J1705</f>
        <v>0</v>
      </c>
      <c r="K1704" s="62">
        <f t="shared" si="306"/>
        <v>16000</v>
      </c>
      <c r="L1704" s="62"/>
      <c r="M1704" s="62"/>
      <c r="N1704" s="62"/>
      <c r="O1704" s="62">
        <f t="shared" si="307"/>
        <v>0</v>
      </c>
      <c r="P1704" s="63"/>
      <c r="Q1704" s="64">
        <f t="shared" si="308"/>
        <v>16000</v>
      </c>
      <c r="R1704" s="64">
        <f t="shared" si="309"/>
        <v>0</v>
      </c>
      <c r="S1704" s="64">
        <f t="shared" si="310"/>
        <v>16000</v>
      </c>
    </row>
    <row r="1705" spans="2:19" x14ac:dyDescent="0.2">
      <c r="B1705" s="48">
        <f t="shared" si="305"/>
        <v>139</v>
      </c>
      <c r="C1705" s="11"/>
      <c r="D1705" s="11"/>
      <c r="E1705" s="11"/>
      <c r="F1705" s="65"/>
      <c r="G1705" s="10">
        <v>637</v>
      </c>
      <c r="H1705" s="11" t="s">
        <v>123</v>
      </c>
      <c r="I1705" s="66">
        <v>16000</v>
      </c>
      <c r="J1705" s="66"/>
      <c r="K1705" s="66">
        <f t="shared" si="306"/>
        <v>16000</v>
      </c>
      <c r="L1705" s="66"/>
      <c r="M1705" s="66"/>
      <c r="N1705" s="66"/>
      <c r="O1705" s="66">
        <f t="shared" si="307"/>
        <v>0</v>
      </c>
      <c r="P1705" s="67"/>
      <c r="Q1705" s="68">
        <f t="shared" si="308"/>
        <v>16000</v>
      </c>
      <c r="R1705" s="68">
        <f t="shared" si="309"/>
        <v>0</v>
      </c>
      <c r="S1705" s="68">
        <f t="shared" si="310"/>
        <v>16000</v>
      </c>
    </row>
    <row r="1706" spans="2:19" x14ac:dyDescent="0.2">
      <c r="B1706" s="48">
        <f t="shared" si="305"/>
        <v>140</v>
      </c>
      <c r="C1706" s="9"/>
      <c r="D1706" s="9"/>
      <c r="E1706" s="9"/>
      <c r="F1706" s="61" t="s">
        <v>76</v>
      </c>
      <c r="G1706" s="8">
        <v>640</v>
      </c>
      <c r="H1706" s="9" t="s">
        <v>130</v>
      </c>
      <c r="I1706" s="62">
        <f>I1707</f>
        <v>1100</v>
      </c>
      <c r="J1706" s="62">
        <f>J1707</f>
        <v>0</v>
      </c>
      <c r="K1706" s="62">
        <f t="shared" si="306"/>
        <v>1100</v>
      </c>
      <c r="L1706" s="62"/>
      <c r="M1706" s="62"/>
      <c r="N1706" s="62"/>
      <c r="O1706" s="62">
        <f t="shared" si="307"/>
        <v>0</v>
      </c>
      <c r="P1706" s="63"/>
      <c r="Q1706" s="64">
        <f t="shared" si="308"/>
        <v>1100</v>
      </c>
      <c r="R1706" s="64">
        <f t="shared" si="309"/>
        <v>0</v>
      </c>
      <c r="S1706" s="64">
        <f t="shared" si="310"/>
        <v>1100</v>
      </c>
    </row>
    <row r="1707" spans="2:19" x14ac:dyDescent="0.2">
      <c r="B1707" s="48">
        <f t="shared" si="305"/>
        <v>141</v>
      </c>
      <c r="C1707" s="81"/>
      <c r="D1707" s="81"/>
      <c r="E1707" s="81"/>
      <c r="F1707" s="12"/>
      <c r="G1707" s="12"/>
      <c r="H1707" s="13" t="s">
        <v>370</v>
      </c>
      <c r="I1707" s="83">
        <v>1100</v>
      </c>
      <c r="J1707" s="83"/>
      <c r="K1707" s="83">
        <f t="shared" si="306"/>
        <v>1100</v>
      </c>
      <c r="L1707" s="83"/>
      <c r="M1707" s="83"/>
      <c r="N1707" s="83"/>
      <c r="O1707" s="83">
        <f t="shared" si="307"/>
        <v>0</v>
      </c>
      <c r="P1707" s="84"/>
      <c r="Q1707" s="85">
        <f t="shared" si="308"/>
        <v>1100</v>
      </c>
      <c r="R1707" s="85">
        <f t="shared" si="309"/>
        <v>0</v>
      </c>
      <c r="S1707" s="85">
        <f t="shared" si="310"/>
        <v>1100</v>
      </c>
    </row>
    <row r="1708" spans="2:19" ht="15" x14ac:dyDescent="0.2">
      <c r="B1708" s="48">
        <f t="shared" si="305"/>
        <v>142</v>
      </c>
      <c r="C1708" s="51">
        <v>10</v>
      </c>
      <c r="D1708" s="435" t="s">
        <v>175</v>
      </c>
      <c r="E1708" s="436"/>
      <c r="F1708" s="436"/>
      <c r="G1708" s="436"/>
      <c r="H1708" s="436"/>
      <c r="I1708" s="52">
        <f>I1709</f>
        <v>26770</v>
      </c>
      <c r="J1708" s="52">
        <f>J1709</f>
        <v>0</v>
      </c>
      <c r="K1708" s="52">
        <f t="shared" si="306"/>
        <v>26770</v>
      </c>
      <c r="L1708" s="53"/>
      <c r="M1708" s="52">
        <f>M1709</f>
        <v>56400</v>
      </c>
      <c r="N1708" s="52">
        <f>N1709</f>
        <v>0</v>
      </c>
      <c r="O1708" s="52">
        <f t="shared" si="307"/>
        <v>56400</v>
      </c>
      <c r="P1708" s="54"/>
      <c r="Q1708" s="72">
        <f t="shared" si="308"/>
        <v>83170</v>
      </c>
      <c r="R1708" s="72">
        <f t="shared" si="309"/>
        <v>0</v>
      </c>
      <c r="S1708" s="72">
        <f t="shared" si="310"/>
        <v>83170</v>
      </c>
    </row>
    <row r="1709" spans="2:19" ht="15" x14ac:dyDescent="0.25">
      <c r="B1709" s="48">
        <f t="shared" si="305"/>
        <v>143</v>
      </c>
      <c r="C1709" s="166"/>
      <c r="D1709" s="166"/>
      <c r="E1709" s="166">
        <v>5</v>
      </c>
      <c r="F1709" s="167"/>
      <c r="G1709" s="167"/>
      <c r="H1709" s="166" t="s">
        <v>107</v>
      </c>
      <c r="I1709" s="168">
        <f>I1710+I1711+I1712+I1717</f>
        <v>26770</v>
      </c>
      <c r="J1709" s="168">
        <f>J1710+J1711+J1712+J1717</f>
        <v>0</v>
      </c>
      <c r="K1709" s="168">
        <f t="shared" si="306"/>
        <v>26770</v>
      </c>
      <c r="L1709" s="58"/>
      <c r="M1709" s="168">
        <f>M1718</f>
        <v>56400</v>
      </c>
      <c r="N1709" s="168">
        <f>N1718</f>
        <v>0</v>
      </c>
      <c r="O1709" s="168">
        <f t="shared" si="307"/>
        <v>56400</v>
      </c>
      <c r="P1709" s="59"/>
      <c r="Q1709" s="169">
        <f t="shared" si="308"/>
        <v>83170</v>
      </c>
      <c r="R1709" s="169">
        <f t="shared" si="309"/>
        <v>0</v>
      </c>
      <c r="S1709" s="169">
        <f t="shared" si="310"/>
        <v>83170</v>
      </c>
    </row>
    <row r="1710" spans="2:19" x14ac:dyDescent="0.2">
      <c r="B1710" s="48">
        <f t="shared" si="305"/>
        <v>144</v>
      </c>
      <c r="C1710" s="9"/>
      <c r="D1710" s="9"/>
      <c r="E1710" s="9"/>
      <c r="F1710" s="61" t="s">
        <v>77</v>
      </c>
      <c r="G1710" s="8">
        <v>610</v>
      </c>
      <c r="H1710" s="9" t="s">
        <v>132</v>
      </c>
      <c r="I1710" s="62">
        <f>11920+3486-2200</f>
        <v>13206</v>
      </c>
      <c r="J1710" s="62"/>
      <c r="K1710" s="62">
        <f t="shared" si="306"/>
        <v>13206</v>
      </c>
      <c r="L1710" s="62"/>
      <c r="M1710" s="62"/>
      <c r="N1710" s="62"/>
      <c r="O1710" s="62">
        <f t="shared" si="307"/>
        <v>0</v>
      </c>
      <c r="P1710" s="63"/>
      <c r="Q1710" s="64">
        <f t="shared" si="308"/>
        <v>13206</v>
      </c>
      <c r="R1710" s="64">
        <f t="shared" si="309"/>
        <v>0</v>
      </c>
      <c r="S1710" s="64">
        <f t="shared" si="310"/>
        <v>13206</v>
      </c>
    </row>
    <row r="1711" spans="2:19" x14ac:dyDescent="0.2">
      <c r="B1711" s="48">
        <f t="shared" si="305"/>
        <v>145</v>
      </c>
      <c r="C1711" s="9"/>
      <c r="D1711" s="9"/>
      <c r="E1711" s="9"/>
      <c r="F1711" s="61" t="s">
        <v>77</v>
      </c>
      <c r="G1711" s="8">
        <v>620</v>
      </c>
      <c r="H1711" s="9" t="s">
        <v>125</v>
      </c>
      <c r="I1711" s="62">
        <f>1540+220+2200+125+465+155+735</f>
        <v>5440</v>
      </c>
      <c r="J1711" s="62"/>
      <c r="K1711" s="62">
        <f t="shared" si="306"/>
        <v>5440</v>
      </c>
      <c r="L1711" s="62"/>
      <c r="M1711" s="62"/>
      <c r="N1711" s="62"/>
      <c r="O1711" s="62">
        <f t="shared" si="307"/>
        <v>0</v>
      </c>
      <c r="P1711" s="63"/>
      <c r="Q1711" s="64">
        <f t="shared" si="308"/>
        <v>5440</v>
      </c>
      <c r="R1711" s="64">
        <f t="shared" si="309"/>
        <v>0</v>
      </c>
      <c r="S1711" s="64">
        <f t="shared" si="310"/>
        <v>5440</v>
      </c>
    </row>
    <row r="1712" spans="2:19" x14ac:dyDescent="0.2">
      <c r="B1712" s="48">
        <f t="shared" si="305"/>
        <v>146</v>
      </c>
      <c r="C1712" s="9"/>
      <c r="D1712" s="9"/>
      <c r="E1712" s="9"/>
      <c r="F1712" s="61" t="s">
        <v>77</v>
      </c>
      <c r="G1712" s="8">
        <v>630</v>
      </c>
      <c r="H1712" s="9" t="s">
        <v>122</v>
      </c>
      <c r="I1712" s="62">
        <f>I1716+I1715+I1714+I1713</f>
        <v>5714</v>
      </c>
      <c r="J1712" s="62">
        <f>J1716+J1715+J1714+J1713</f>
        <v>0</v>
      </c>
      <c r="K1712" s="62">
        <f t="shared" si="306"/>
        <v>5714</v>
      </c>
      <c r="L1712" s="62"/>
      <c r="M1712" s="62"/>
      <c r="N1712" s="62"/>
      <c r="O1712" s="62">
        <f t="shared" si="307"/>
        <v>0</v>
      </c>
      <c r="P1712" s="63"/>
      <c r="Q1712" s="64">
        <f t="shared" si="308"/>
        <v>5714</v>
      </c>
      <c r="R1712" s="64">
        <f t="shared" si="309"/>
        <v>0</v>
      </c>
      <c r="S1712" s="64">
        <f t="shared" si="310"/>
        <v>5714</v>
      </c>
    </row>
    <row r="1713" spans="2:19" x14ac:dyDescent="0.2">
      <c r="B1713" s="48">
        <f t="shared" si="305"/>
        <v>147</v>
      </c>
      <c r="C1713" s="11"/>
      <c r="D1713" s="11"/>
      <c r="E1713" s="11"/>
      <c r="F1713" s="65"/>
      <c r="G1713" s="10">
        <v>632</v>
      </c>
      <c r="H1713" s="11" t="s">
        <v>135</v>
      </c>
      <c r="I1713" s="66">
        <f>20+25</f>
        <v>45</v>
      </c>
      <c r="J1713" s="66"/>
      <c r="K1713" s="66">
        <f t="shared" si="306"/>
        <v>45</v>
      </c>
      <c r="L1713" s="66"/>
      <c r="M1713" s="66"/>
      <c r="N1713" s="66"/>
      <c r="O1713" s="66">
        <f t="shared" si="307"/>
        <v>0</v>
      </c>
      <c r="P1713" s="67"/>
      <c r="Q1713" s="68">
        <f t="shared" si="308"/>
        <v>45</v>
      </c>
      <c r="R1713" s="68">
        <f t="shared" si="309"/>
        <v>0</v>
      </c>
      <c r="S1713" s="68">
        <f t="shared" si="310"/>
        <v>45</v>
      </c>
    </row>
    <row r="1714" spans="2:19" x14ac:dyDescent="0.2">
      <c r="B1714" s="48">
        <f t="shared" si="305"/>
        <v>148</v>
      </c>
      <c r="C1714" s="11"/>
      <c r="D1714" s="11"/>
      <c r="E1714" s="11"/>
      <c r="F1714" s="65"/>
      <c r="G1714" s="10">
        <v>633</v>
      </c>
      <c r="H1714" s="11" t="s">
        <v>126</v>
      </c>
      <c r="I1714" s="66">
        <f>50+80</f>
        <v>130</v>
      </c>
      <c r="J1714" s="66"/>
      <c r="K1714" s="66">
        <f t="shared" si="306"/>
        <v>130</v>
      </c>
      <c r="L1714" s="66"/>
      <c r="M1714" s="66"/>
      <c r="N1714" s="66"/>
      <c r="O1714" s="66">
        <f t="shared" si="307"/>
        <v>0</v>
      </c>
      <c r="P1714" s="67"/>
      <c r="Q1714" s="68">
        <f t="shared" si="308"/>
        <v>130</v>
      </c>
      <c r="R1714" s="68">
        <f t="shared" si="309"/>
        <v>0</v>
      </c>
      <c r="S1714" s="68">
        <f t="shared" si="310"/>
        <v>130</v>
      </c>
    </row>
    <row r="1715" spans="2:19" x14ac:dyDescent="0.2">
      <c r="B1715" s="48">
        <f t="shared" si="305"/>
        <v>149</v>
      </c>
      <c r="C1715" s="11"/>
      <c r="D1715" s="11"/>
      <c r="E1715" s="11"/>
      <c r="F1715" s="65"/>
      <c r="G1715" s="10">
        <v>634</v>
      </c>
      <c r="H1715" s="11" t="s">
        <v>133</v>
      </c>
      <c r="I1715" s="66">
        <f>2000+2000+320+120-261</f>
        <v>4179</v>
      </c>
      <c r="J1715" s="66"/>
      <c r="K1715" s="66">
        <f t="shared" si="306"/>
        <v>4179</v>
      </c>
      <c r="L1715" s="66"/>
      <c r="M1715" s="66"/>
      <c r="N1715" s="66"/>
      <c r="O1715" s="66">
        <f t="shared" si="307"/>
        <v>0</v>
      </c>
      <c r="P1715" s="67"/>
      <c r="Q1715" s="68">
        <f t="shared" si="308"/>
        <v>4179</v>
      </c>
      <c r="R1715" s="68">
        <f t="shared" si="309"/>
        <v>0</v>
      </c>
      <c r="S1715" s="68">
        <f t="shared" si="310"/>
        <v>4179</v>
      </c>
    </row>
    <row r="1716" spans="2:19" x14ac:dyDescent="0.2">
      <c r="B1716" s="48">
        <f t="shared" si="305"/>
        <v>150</v>
      </c>
      <c r="C1716" s="11"/>
      <c r="D1716" s="11"/>
      <c r="E1716" s="11"/>
      <c r="F1716" s="65"/>
      <c r="G1716" s="10">
        <v>637</v>
      </c>
      <c r="H1716" s="11" t="s">
        <v>123</v>
      </c>
      <c r="I1716" s="66">
        <f>100+275+235+750</f>
        <v>1360</v>
      </c>
      <c r="J1716" s="66"/>
      <c r="K1716" s="66">
        <f t="shared" si="306"/>
        <v>1360</v>
      </c>
      <c r="L1716" s="66"/>
      <c r="M1716" s="66"/>
      <c r="N1716" s="66"/>
      <c r="O1716" s="66">
        <f t="shared" si="307"/>
        <v>0</v>
      </c>
      <c r="P1716" s="67"/>
      <c r="Q1716" s="68">
        <f t="shared" si="308"/>
        <v>1360</v>
      </c>
      <c r="R1716" s="68">
        <f t="shared" si="309"/>
        <v>0</v>
      </c>
      <c r="S1716" s="68">
        <f t="shared" si="310"/>
        <v>1360</v>
      </c>
    </row>
    <row r="1717" spans="2:19" x14ac:dyDescent="0.2">
      <c r="B1717" s="48">
        <f t="shared" si="305"/>
        <v>151</v>
      </c>
      <c r="C1717" s="9"/>
      <c r="D1717" s="9"/>
      <c r="E1717" s="9"/>
      <c r="F1717" s="61" t="s">
        <v>77</v>
      </c>
      <c r="G1717" s="8">
        <v>640</v>
      </c>
      <c r="H1717" s="9" t="s">
        <v>130</v>
      </c>
      <c r="I1717" s="62">
        <f>760+200+2200-750</f>
        <v>2410</v>
      </c>
      <c r="J1717" s="62"/>
      <c r="K1717" s="62">
        <f t="shared" si="306"/>
        <v>2410</v>
      </c>
      <c r="L1717" s="62"/>
      <c r="M1717" s="62"/>
      <c r="N1717" s="62"/>
      <c r="O1717" s="62">
        <f t="shared" si="307"/>
        <v>0</v>
      </c>
      <c r="P1717" s="63"/>
      <c r="Q1717" s="64">
        <f t="shared" si="308"/>
        <v>2410</v>
      </c>
      <c r="R1717" s="64">
        <f t="shared" si="309"/>
        <v>0</v>
      </c>
      <c r="S1717" s="64">
        <f t="shared" si="310"/>
        <v>2410</v>
      </c>
    </row>
    <row r="1718" spans="2:19" x14ac:dyDescent="0.2">
      <c r="B1718" s="48">
        <f t="shared" si="305"/>
        <v>152</v>
      </c>
      <c r="C1718" s="9"/>
      <c r="D1718" s="9"/>
      <c r="E1718" s="9"/>
      <c r="F1718" s="61" t="s">
        <v>77</v>
      </c>
      <c r="G1718" s="8">
        <v>710</v>
      </c>
      <c r="H1718" s="9" t="s">
        <v>176</v>
      </c>
      <c r="I1718" s="62"/>
      <c r="J1718" s="62"/>
      <c r="K1718" s="62">
        <f t="shared" si="306"/>
        <v>0</v>
      </c>
      <c r="L1718" s="62"/>
      <c r="M1718" s="62">
        <f>M1721+M1719</f>
        <v>56400</v>
      </c>
      <c r="N1718" s="62">
        <f>N1721</f>
        <v>0</v>
      </c>
      <c r="O1718" s="62">
        <f t="shared" si="307"/>
        <v>56400</v>
      </c>
      <c r="P1718" s="63"/>
      <c r="Q1718" s="64">
        <f t="shared" si="308"/>
        <v>56400</v>
      </c>
      <c r="R1718" s="64">
        <f t="shared" si="309"/>
        <v>0</v>
      </c>
      <c r="S1718" s="64">
        <f t="shared" si="310"/>
        <v>56400</v>
      </c>
    </row>
    <row r="1719" spans="2:19" x14ac:dyDescent="0.2">
      <c r="B1719" s="48">
        <f t="shared" si="305"/>
        <v>153</v>
      </c>
      <c r="C1719" s="9"/>
      <c r="D1719" s="9"/>
      <c r="E1719" s="9"/>
      <c r="F1719" s="61"/>
      <c r="G1719" s="10">
        <v>713</v>
      </c>
      <c r="H1719" s="11" t="s">
        <v>219</v>
      </c>
      <c r="I1719" s="62"/>
      <c r="J1719" s="62"/>
      <c r="K1719" s="62"/>
      <c r="L1719" s="62"/>
      <c r="M1719" s="66">
        <f>M1720</f>
        <v>6000</v>
      </c>
      <c r="N1719" s="62"/>
      <c r="O1719" s="66">
        <f t="shared" si="307"/>
        <v>6000</v>
      </c>
      <c r="P1719" s="67"/>
      <c r="Q1719" s="68">
        <f t="shared" ref="Q1719:Q1720" si="311">I1719+M1719</f>
        <v>6000</v>
      </c>
      <c r="R1719" s="68">
        <f t="shared" ref="R1719:R1720" si="312">J1719+N1719</f>
        <v>0</v>
      </c>
      <c r="S1719" s="68">
        <f t="shared" ref="S1719:S1720" si="313">K1719+O1719</f>
        <v>6000</v>
      </c>
    </row>
    <row r="1720" spans="2:19" x14ac:dyDescent="0.2">
      <c r="B1720" s="48">
        <f t="shared" si="305"/>
        <v>154</v>
      </c>
      <c r="C1720" s="9"/>
      <c r="D1720" s="9"/>
      <c r="E1720" s="9"/>
      <c r="F1720" s="61"/>
      <c r="G1720" s="212"/>
      <c r="H1720" s="300" t="s">
        <v>643</v>
      </c>
      <c r="I1720" s="62"/>
      <c r="J1720" s="62"/>
      <c r="K1720" s="62"/>
      <c r="L1720" s="62"/>
      <c r="M1720" s="83">
        <v>6000</v>
      </c>
      <c r="N1720" s="62"/>
      <c r="O1720" s="83">
        <f t="shared" si="307"/>
        <v>6000</v>
      </c>
      <c r="P1720" s="84"/>
      <c r="Q1720" s="85">
        <f t="shared" si="311"/>
        <v>6000</v>
      </c>
      <c r="R1720" s="85">
        <f t="shared" si="312"/>
        <v>0</v>
      </c>
      <c r="S1720" s="85">
        <f t="shared" si="313"/>
        <v>6000</v>
      </c>
    </row>
    <row r="1721" spans="2:19" x14ac:dyDescent="0.2">
      <c r="B1721" s="48">
        <f t="shared" si="305"/>
        <v>155</v>
      </c>
      <c r="C1721" s="9"/>
      <c r="D1721" s="9"/>
      <c r="E1721" s="9"/>
      <c r="F1721" s="61"/>
      <c r="G1721" s="10">
        <v>714</v>
      </c>
      <c r="H1721" s="11" t="s">
        <v>177</v>
      </c>
      <c r="I1721" s="66"/>
      <c r="J1721" s="66"/>
      <c r="K1721" s="66">
        <f t="shared" si="306"/>
        <v>0</v>
      </c>
      <c r="L1721" s="66"/>
      <c r="M1721" s="66">
        <f>M1722</f>
        <v>50400</v>
      </c>
      <c r="N1721" s="66">
        <f>N1722</f>
        <v>0</v>
      </c>
      <c r="O1721" s="66">
        <f t="shared" si="307"/>
        <v>50400</v>
      </c>
      <c r="P1721" s="63"/>
      <c r="Q1721" s="64">
        <f t="shared" si="308"/>
        <v>50400</v>
      </c>
      <c r="R1721" s="64">
        <f t="shared" si="309"/>
        <v>0</v>
      </c>
      <c r="S1721" s="64">
        <f t="shared" si="310"/>
        <v>50400</v>
      </c>
    </row>
    <row r="1722" spans="2:19" x14ac:dyDescent="0.2">
      <c r="B1722" s="48">
        <f t="shared" si="305"/>
        <v>156</v>
      </c>
      <c r="C1722" s="9"/>
      <c r="D1722" s="9"/>
      <c r="E1722" s="9"/>
      <c r="F1722" s="61"/>
      <c r="G1722" s="212"/>
      <c r="H1722" s="300" t="s">
        <v>514</v>
      </c>
      <c r="I1722" s="76"/>
      <c r="J1722" s="76"/>
      <c r="K1722" s="76">
        <f t="shared" si="306"/>
        <v>0</v>
      </c>
      <c r="L1722" s="76"/>
      <c r="M1722" s="76">
        <f>55000-4600</f>
        <v>50400</v>
      </c>
      <c r="N1722" s="76"/>
      <c r="O1722" s="76">
        <f t="shared" si="307"/>
        <v>50400</v>
      </c>
      <c r="P1722" s="63"/>
      <c r="Q1722" s="64">
        <f t="shared" si="308"/>
        <v>50400</v>
      </c>
      <c r="R1722" s="64">
        <f t="shared" si="309"/>
        <v>0</v>
      </c>
      <c r="S1722" s="64">
        <f t="shared" si="310"/>
        <v>50400</v>
      </c>
    </row>
    <row r="1723" spans="2:19" ht="15" x14ac:dyDescent="0.2">
      <c r="B1723" s="48">
        <f t="shared" si="305"/>
        <v>157</v>
      </c>
      <c r="C1723" s="51">
        <v>11</v>
      </c>
      <c r="D1723" s="435" t="s">
        <v>72</v>
      </c>
      <c r="E1723" s="436"/>
      <c r="F1723" s="436"/>
      <c r="G1723" s="436"/>
      <c r="H1723" s="436"/>
      <c r="I1723" s="52">
        <f>I1724</f>
        <v>265580</v>
      </c>
      <c r="J1723" s="52">
        <f>J1724</f>
        <v>0</v>
      </c>
      <c r="K1723" s="52">
        <f t="shared" si="306"/>
        <v>265580</v>
      </c>
      <c r="L1723" s="53"/>
      <c r="M1723" s="52"/>
      <c r="N1723" s="52"/>
      <c r="O1723" s="52">
        <f t="shared" si="307"/>
        <v>0</v>
      </c>
      <c r="P1723" s="54"/>
      <c r="Q1723" s="72">
        <f t="shared" si="308"/>
        <v>265580</v>
      </c>
      <c r="R1723" s="72">
        <f t="shared" si="309"/>
        <v>0</v>
      </c>
      <c r="S1723" s="72">
        <f t="shared" si="310"/>
        <v>265580</v>
      </c>
    </row>
    <row r="1724" spans="2:19" ht="15" x14ac:dyDescent="0.25">
      <c r="B1724" s="48">
        <f t="shared" si="305"/>
        <v>158</v>
      </c>
      <c r="C1724" s="166"/>
      <c r="D1724" s="166"/>
      <c r="E1724" s="166">
        <v>5</v>
      </c>
      <c r="F1724" s="167"/>
      <c r="G1724" s="167"/>
      <c r="H1724" s="166" t="s">
        <v>107</v>
      </c>
      <c r="I1724" s="168">
        <f>I1725+I1726+I1727+I1734</f>
        <v>265580</v>
      </c>
      <c r="J1724" s="168">
        <f>J1725+J1726+J1727+J1734</f>
        <v>0</v>
      </c>
      <c r="K1724" s="168">
        <f t="shared" si="306"/>
        <v>265580</v>
      </c>
      <c r="L1724" s="58"/>
      <c r="M1724" s="168"/>
      <c r="N1724" s="168"/>
      <c r="O1724" s="168">
        <f t="shared" si="307"/>
        <v>0</v>
      </c>
      <c r="P1724" s="59"/>
      <c r="Q1724" s="169">
        <f t="shared" si="308"/>
        <v>265580</v>
      </c>
      <c r="R1724" s="169">
        <f t="shared" si="309"/>
        <v>0</v>
      </c>
      <c r="S1724" s="169">
        <f t="shared" si="310"/>
        <v>265580</v>
      </c>
    </row>
    <row r="1725" spans="2:19" s="2" customFormat="1" ht="12" x14ac:dyDescent="0.2">
      <c r="B1725" s="48">
        <f t="shared" si="305"/>
        <v>159</v>
      </c>
      <c r="C1725" s="9"/>
      <c r="D1725" s="9"/>
      <c r="E1725" s="9"/>
      <c r="F1725" s="61" t="s">
        <v>62</v>
      </c>
      <c r="G1725" s="8">
        <v>610</v>
      </c>
      <c r="H1725" s="9" t="s">
        <v>132</v>
      </c>
      <c r="I1725" s="62">
        <f>114890+43600+7855+1875</f>
        <v>168220</v>
      </c>
      <c r="J1725" s="62"/>
      <c r="K1725" s="62">
        <f t="shared" si="306"/>
        <v>168220</v>
      </c>
      <c r="L1725" s="62"/>
      <c r="M1725" s="62"/>
      <c r="N1725" s="62"/>
      <c r="O1725" s="62">
        <f t="shared" si="307"/>
        <v>0</v>
      </c>
      <c r="P1725" s="63"/>
      <c r="Q1725" s="64">
        <f t="shared" si="308"/>
        <v>168220</v>
      </c>
      <c r="R1725" s="64">
        <f t="shared" si="309"/>
        <v>0</v>
      </c>
      <c r="S1725" s="64">
        <f t="shared" si="310"/>
        <v>168220</v>
      </c>
    </row>
    <row r="1726" spans="2:19" s="2" customFormat="1" ht="12" x14ac:dyDescent="0.2">
      <c r="B1726" s="48">
        <f t="shared" si="305"/>
        <v>160</v>
      </c>
      <c r="C1726" s="9"/>
      <c r="D1726" s="9"/>
      <c r="E1726" s="9"/>
      <c r="F1726" s="61" t="s">
        <v>62</v>
      </c>
      <c r="G1726" s="8">
        <v>620</v>
      </c>
      <c r="H1726" s="9" t="s">
        <v>125</v>
      </c>
      <c r="I1726" s="62">
        <f>12680+1835+2130+2330+23300+1330+4990+1665+7900+5000</f>
        <v>63160</v>
      </c>
      <c r="J1726" s="62"/>
      <c r="K1726" s="62">
        <f t="shared" si="306"/>
        <v>63160</v>
      </c>
      <c r="L1726" s="62"/>
      <c r="M1726" s="62"/>
      <c r="N1726" s="62"/>
      <c r="O1726" s="62">
        <f t="shared" si="307"/>
        <v>0</v>
      </c>
      <c r="P1726" s="63"/>
      <c r="Q1726" s="64">
        <f t="shared" si="308"/>
        <v>63160</v>
      </c>
      <c r="R1726" s="64">
        <f t="shared" si="309"/>
        <v>0</v>
      </c>
      <c r="S1726" s="64">
        <f t="shared" si="310"/>
        <v>63160</v>
      </c>
    </row>
    <row r="1727" spans="2:19" x14ac:dyDescent="0.2">
      <c r="B1727" s="48">
        <f t="shared" si="305"/>
        <v>161</v>
      </c>
      <c r="C1727" s="9"/>
      <c r="D1727" s="9"/>
      <c r="E1727" s="9"/>
      <c r="F1727" s="61" t="s">
        <v>62</v>
      </c>
      <c r="G1727" s="8">
        <v>630</v>
      </c>
      <c r="H1727" s="9" t="s">
        <v>122</v>
      </c>
      <c r="I1727" s="62">
        <f>I1733+I1732+I1731+I1730+I1729+I1728</f>
        <v>28600</v>
      </c>
      <c r="J1727" s="62">
        <f>J1733+J1732+J1731+J1730+J1729+J1728</f>
        <v>0</v>
      </c>
      <c r="K1727" s="62">
        <f t="shared" si="306"/>
        <v>28600</v>
      </c>
      <c r="L1727" s="62"/>
      <c r="M1727" s="62"/>
      <c r="N1727" s="62"/>
      <c r="O1727" s="62">
        <f t="shared" si="307"/>
        <v>0</v>
      </c>
      <c r="P1727" s="63"/>
      <c r="Q1727" s="64">
        <f t="shared" si="308"/>
        <v>28600</v>
      </c>
      <c r="R1727" s="64">
        <f t="shared" si="309"/>
        <v>0</v>
      </c>
      <c r="S1727" s="64">
        <f t="shared" si="310"/>
        <v>28600</v>
      </c>
    </row>
    <row r="1728" spans="2:19" x14ac:dyDescent="0.2">
      <c r="B1728" s="48">
        <f t="shared" si="305"/>
        <v>162</v>
      </c>
      <c r="C1728" s="11"/>
      <c r="D1728" s="11"/>
      <c r="E1728" s="11"/>
      <c r="F1728" s="65"/>
      <c r="G1728" s="10">
        <v>631</v>
      </c>
      <c r="H1728" s="11" t="s">
        <v>128</v>
      </c>
      <c r="I1728" s="66">
        <v>200</v>
      </c>
      <c r="J1728" s="66"/>
      <c r="K1728" s="66">
        <f t="shared" si="306"/>
        <v>200</v>
      </c>
      <c r="L1728" s="66"/>
      <c r="M1728" s="66"/>
      <c r="N1728" s="66"/>
      <c r="O1728" s="66">
        <f t="shared" si="307"/>
        <v>0</v>
      </c>
      <c r="P1728" s="67"/>
      <c r="Q1728" s="68">
        <f t="shared" si="308"/>
        <v>200</v>
      </c>
      <c r="R1728" s="68">
        <f t="shared" si="309"/>
        <v>0</v>
      </c>
      <c r="S1728" s="68">
        <f t="shared" si="310"/>
        <v>200</v>
      </c>
    </row>
    <row r="1729" spans="2:19" s="2" customFormat="1" ht="12" x14ac:dyDescent="0.2">
      <c r="B1729" s="48">
        <f t="shared" si="305"/>
        <v>163</v>
      </c>
      <c r="C1729" s="11"/>
      <c r="D1729" s="11"/>
      <c r="E1729" s="11"/>
      <c r="F1729" s="65"/>
      <c r="G1729" s="10">
        <v>632</v>
      </c>
      <c r="H1729" s="11" t="s">
        <v>135</v>
      </c>
      <c r="I1729" s="66">
        <v>1800</v>
      </c>
      <c r="J1729" s="66"/>
      <c r="K1729" s="66">
        <f t="shared" si="306"/>
        <v>1800</v>
      </c>
      <c r="L1729" s="66"/>
      <c r="M1729" s="66"/>
      <c r="N1729" s="66"/>
      <c r="O1729" s="66">
        <f t="shared" si="307"/>
        <v>0</v>
      </c>
      <c r="P1729" s="67"/>
      <c r="Q1729" s="68">
        <f t="shared" si="308"/>
        <v>1800</v>
      </c>
      <c r="R1729" s="68">
        <f t="shared" si="309"/>
        <v>0</v>
      </c>
      <c r="S1729" s="68">
        <f t="shared" si="310"/>
        <v>1800</v>
      </c>
    </row>
    <row r="1730" spans="2:19" x14ac:dyDescent="0.2">
      <c r="B1730" s="48">
        <f t="shared" si="305"/>
        <v>164</v>
      </c>
      <c r="C1730" s="11"/>
      <c r="D1730" s="11"/>
      <c r="E1730" s="11"/>
      <c r="F1730" s="65"/>
      <c r="G1730" s="10">
        <v>633</v>
      </c>
      <c r="H1730" s="11" t="s">
        <v>126</v>
      </c>
      <c r="I1730" s="66">
        <v>2600</v>
      </c>
      <c r="J1730" s="66"/>
      <c r="K1730" s="66">
        <f t="shared" si="306"/>
        <v>2600</v>
      </c>
      <c r="L1730" s="66"/>
      <c r="M1730" s="66"/>
      <c r="N1730" s="66"/>
      <c r="O1730" s="66">
        <f t="shared" si="307"/>
        <v>0</v>
      </c>
      <c r="P1730" s="67"/>
      <c r="Q1730" s="68">
        <f t="shared" si="308"/>
        <v>2600</v>
      </c>
      <c r="R1730" s="68">
        <f t="shared" si="309"/>
        <v>0</v>
      </c>
      <c r="S1730" s="68">
        <f t="shared" si="310"/>
        <v>2600</v>
      </c>
    </row>
    <row r="1731" spans="2:19" x14ac:dyDescent="0.2">
      <c r="B1731" s="48">
        <f t="shared" si="305"/>
        <v>165</v>
      </c>
      <c r="C1731" s="11"/>
      <c r="D1731" s="11"/>
      <c r="E1731" s="11"/>
      <c r="F1731" s="65"/>
      <c r="G1731" s="10">
        <v>634</v>
      </c>
      <c r="H1731" s="11" t="s">
        <v>133</v>
      </c>
      <c r="I1731" s="66">
        <v>1000</v>
      </c>
      <c r="J1731" s="66"/>
      <c r="K1731" s="66">
        <f t="shared" si="306"/>
        <v>1000</v>
      </c>
      <c r="L1731" s="66"/>
      <c r="M1731" s="66"/>
      <c r="N1731" s="66"/>
      <c r="O1731" s="66">
        <f t="shared" si="307"/>
        <v>0</v>
      </c>
      <c r="P1731" s="67"/>
      <c r="Q1731" s="68">
        <f t="shared" si="308"/>
        <v>1000</v>
      </c>
      <c r="R1731" s="68">
        <f t="shared" si="309"/>
        <v>0</v>
      </c>
      <c r="S1731" s="68">
        <f t="shared" si="310"/>
        <v>1000</v>
      </c>
    </row>
    <row r="1732" spans="2:19" x14ac:dyDescent="0.2">
      <c r="B1732" s="48">
        <f t="shared" si="305"/>
        <v>166</v>
      </c>
      <c r="C1732" s="11"/>
      <c r="D1732" s="11"/>
      <c r="E1732" s="11"/>
      <c r="F1732" s="65"/>
      <c r="G1732" s="10">
        <v>635</v>
      </c>
      <c r="H1732" s="11" t="s">
        <v>134</v>
      </c>
      <c r="I1732" s="66">
        <v>500</v>
      </c>
      <c r="J1732" s="66"/>
      <c r="K1732" s="66">
        <f t="shared" si="306"/>
        <v>500</v>
      </c>
      <c r="L1732" s="66"/>
      <c r="M1732" s="66"/>
      <c r="N1732" s="66"/>
      <c r="O1732" s="66">
        <f t="shared" si="307"/>
        <v>0</v>
      </c>
      <c r="P1732" s="67"/>
      <c r="Q1732" s="68">
        <f t="shared" si="308"/>
        <v>500</v>
      </c>
      <c r="R1732" s="68">
        <f t="shared" si="309"/>
        <v>0</v>
      </c>
      <c r="S1732" s="68">
        <f t="shared" si="310"/>
        <v>500</v>
      </c>
    </row>
    <row r="1733" spans="2:19" x14ac:dyDescent="0.2">
      <c r="B1733" s="48">
        <f t="shared" si="305"/>
        <v>167</v>
      </c>
      <c r="C1733" s="11"/>
      <c r="D1733" s="11"/>
      <c r="E1733" s="11"/>
      <c r="F1733" s="65"/>
      <c r="G1733" s="10">
        <v>637</v>
      </c>
      <c r="H1733" s="11" t="s">
        <v>123</v>
      </c>
      <c r="I1733" s="66">
        <v>22500</v>
      </c>
      <c r="J1733" s="66"/>
      <c r="K1733" s="66">
        <f t="shared" si="306"/>
        <v>22500</v>
      </c>
      <c r="L1733" s="66"/>
      <c r="M1733" s="66"/>
      <c r="N1733" s="66"/>
      <c r="O1733" s="66">
        <f t="shared" si="307"/>
        <v>0</v>
      </c>
      <c r="P1733" s="67"/>
      <c r="Q1733" s="68">
        <f t="shared" si="308"/>
        <v>22500</v>
      </c>
      <c r="R1733" s="68">
        <f t="shared" si="309"/>
        <v>0</v>
      </c>
      <c r="S1733" s="68">
        <f t="shared" si="310"/>
        <v>22500</v>
      </c>
    </row>
    <row r="1734" spans="2:19" x14ac:dyDescent="0.2">
      <c r="B1734" s="48">
        <f t="shared" si="305"/>
        <v>168</v>
      </c>
      <c r="C1734" s="302"/>
      <c r="D1734" s="302"/>
      <c r="E1734" s="302"/>
      <c r="F1734" s="303" t="s">
        <v>62</v>
      </c>
      <c r="G1734" s="304">
        <v>640</v>
      </c>
      <c r="H1734" s="302" t="s">
        <v>130</v>
      </c>
      <c r="I1734" s="305">
        <f>4550+1050</f>
        <v>5600</v>
      </c>
      <c r="J1734" s="305"/>
      <c r="K1734" s="305">
        <f t="shared" si="306"/>
        <v>5600</v>
      </c>
      <c r="L1734" s="305"/>
      <c r="M1734" s="305"/>
      <c r="N1734" s="305"/>
      <c r="O1734" s="305">
        <f t="shared" si="307"/>
        <v>0</v>
      </c>
      <c r="P1734" s="209"/>
      <c r="Q1734" s="210">
        <f t="shared" si="308"/>
        <v>5600</v>
      </c>
      <c r="R1734" s="210">
        <f t="shared" si="309"/>
        <v>0</v>
      </c>
      <c r="S1734" s="210">
        <f t="shared" si="310"/>
        <v>5600</v>
      </c>
    </row>
    <row r="1735" spans="2:19" ht="15" x14ac:dyDescent="0.2">
      <c r="B1735" s="48">
        <f t="shared" si="305"/>
        <v>169</v>
      </c>
      <c r="C1735" s="306">
        <v>12</v>
      </c>
      <c r="D1735" s="467" t="s">
        <v>419</v>
      </c>
      <c r="E1735" s="468"/>
      <c r="F1735" s="468"/>
      <c r="G1735" s="468"/>
      <c r="H1735" s="468"/>
      <c r="I1735" s="307">
        <v>0</v>
      </c>
      <c r="J1735" s="307"/>
      <c r="K1735" s="307">
        <f t="shared" si="306"/>
        <v>0</v>
      </c>
      <c r="L1735" s="308"/>
      <c r="M1735" s="307"/>
      <c r="N1735" s="307"/>
      <c r="O1735" s="307">
        <f t="shared" si="307"/>
        <v>0</v>
      </c>
      <c r="P1735" s="233"/>
      <c r="Q1735" s="234">
        <f t="shared" si="308"/>
        <v>0</v>
      </c>
      <c r="R1735" s="234">
        <f t="shared" si="309"/>
        <v>0</v>
      </c>
      <c r="S1735" s="234">
        <f t="shared" si="310"/>
        <v>0</v>
      </c>
    </row>
    <row r="1736" spans="2:19" x14ac:dyDescent="0.2">
      <c r="B1736" s="1"/>
      <c r="F1736" s="1"/>
      <c r="G1736" s="1"/>
      <c r="I1736" s="1"/>
      <c r="J1736" s="1"/>
      <c r="K1736" s="1"/>
      <c r="L1736" s="1"/>
      <c r="M1736" s="1"/>
      <c r="N1736" s="1"/>
      <c r="O1736" s="1"/>
      <c r="P1736" s="1"/>
      <c r="Q1736" s="1"/>
    </row>
    <row r="1737" spans="2:19" x14ac:dyDescent="0.2">
      <c r="B1737" s="1"/>
      <c r="F1737" s="1"/>
      <c r="G1737" s="1"/>
      <c r="I1737" s="1"/>
      <c r="J1737" s="1"/>
      <c r="K1737" s="1"/>
      <c r="L1737" s="1"/>
      <c r="M1737" s="1"/>
      <c r="N1737" s="1"/>
      <c r="O1737" s="1"/>
      <c r="P1737" s="1"/>
      <c r="Q1737" s="1"/>
    </row>
    <row r="1738" spans="2:19" x14ac:dyDescent="0.2">
      <c r="B1738" s="1"/>
      <c r="F1738" s="1"/>
      <c r="G1738" s="1"/>
      <c r="I1738" s="1"/>
      <c r="J1738" s="1"/>
      <c r="K1738" s="1"/>
      <c r="L1738" s="1"/>
      <c r="M1738" s="1"/>
      <c r="N1738" s="1"/>
      <c r="O1738" s="1"/>
      <c r="P1738" s="1"/>
      <c r="Q1738" s="1"/>
    </row>
    <row r="1739" spans="2:19" ht="27.75" x14ac:dyDescent="0.4">
      <c r="B1739" s="429" t="s">
        <v>24</v>
      </c>
      <c r="C1739" s="430"/>
      <c r="D1739" s="430"/>
      <c r="E1739" s="430"/>
      <c r="F1739" s="430"/>
      <c r="G1739" s="430"/>
      <c r="H1739" s="430"/>
      <c r="I1739" s="430"/>
      <c r="J1739" s="430"/>
      <c r="K1739" s="430"/>
      <c r="L1739" s="430"/>
      <c r="M1739" s="430"/>
      <c r="N1739" s="430"/>
      <c r="O1739" s="430"/>
      <c r="P1739" s="430"/>
      <c r="Q1739" s="430"/>
    </row>
    <row r="1740" spans="2:19" ht="12.75" customHeight="1" x14ac:dyDescent="0.2">
      <c r="B1740" s="459" t="s">
        <v>422</v>
      </c>
      <c r="C1740" s="459"/>
      <c r="D1740" s="459"/>
      <c r="E1740" s="459"/>
      <c r="F1740" s="459"/>
      <c r="G1740" s="459"/>
      <c r="H1740" s="459"/>
      <c r="I1740" s="459"/>
      <c r="J1740" s="459"/>
      <c r="K1740" s="459"/>
      <c r="L1740" s="459"/>
      <c r="M1740" s="459"/>
      <c r="N1740" s="459"/>
      <c r="O1740" s="459"/>
      <c r="P1740" s="390"/>
      <c r="Q1740" s="408" t="s">
        <v>595</v>
      </c>
      <c r="R1740" s="408" t="s">
        <v>591</v>
      </c>
      <c r="S1740" s="408" t="s">
        <v>566</v>
      </c>
    </row>
    <row r="1741" spans="2:19" ht="12.75" customHeight="1" x14ac:dyDescent="0.2">
      <c r="B1741" s="458"/>
      <c r="C1741" s="437" t="s">
        <v>115</v>
      </c>
      <c r="D1741" s="437" t="s">
        <v>116</v>
      </c>
      <c r="E1741" s="452"/>
      <c r="F1741" s="437" t="s">
        <v>117</v>
      </c>
      <c r="G1741" s="443" t="s">
        <v>118</v>
      </c>
      <c r="H1741" s="449" t="s">
        <v>119</v>
      </c>
      <c r="I1741" s="408" t="s">
        <v>593</v>
      </c>
      <c r="J1741" s="408" t="s">
        <v>591</v>
      </c>
      <c r="K1741" s="408" t="s">
        <v>566</v>
      </c>
      <c r="L1741" s="391"/>
      <c r="M1741" s="408" t="s">
        <v>594</v>
      </c>
      <c r="N1741" s="408" t="s">
        <v>591</v>
      </c>
      <c r="O1741" s="408" t="s">
        <v>566</v>
      </c>
      <c r="P1741" s="391"/>
      <c r="Q1741" s="408"/>
      <c r="R1741" s="408"/>
      <c r="S1741" s="408"/>
    </row>
    <row r="1742" spans="2:19" x14ac:dyDescent="0.2">
      <c r="B1742" s="458"/>
      <c r="C1742" s="437"/>
      <c r="D1742" s="437"/>
      <c r="E1742" s="452"/>
      <c r="F1742" s="437"/>
      <c r="G1742" s="443"/>
      <c r="H1742" s="449"/>
      <c r="I1742" s="408"/>
      <c r="J1742" s="408"/>
      <c r="K1742" s="408"/>
      <c r="L1742" s="391"/>
      <c r="M1742" s="408"/>
      <c r="N1742" s="408"/>
      <c r="O1742" s="408"/>
      <c r="P1742" s="391"/>
      <c r="Q1742" s="408"/>
      <c r="R1742" s="408"/>
      <c r="S1742" s="408"/>
    </row>
    <row r="1743" spans="2:19" x14ac:dyDescent="0.2">
      <c r="B1743" s="458"/>
      <c r="C1743" s="437"/>
      <c r="D1743" s="437"/>
      <c r="E1743" s="452"/>
      <c r="F1743" s="437"/>
      <c r="G1743" s="443"/>
      <c r="H1743" s="449"/>
      <c r="I1743" s="408"/>
      <c r="J1743" s="408"/>
      <c r="K1743" s="408"/>
      <c r="L1743" s="391"/>
      <c r="M1743" s="408"/>
      <c r="N1743" s="408"/>
      <c r="O1743" s="408"/>
      <c r="P1743" s="391"/>
      <c r="Q1743" s="408"/>
      <c r="R1743" s="408"/>
      <c r="S1743" s="408"/>
    </row>
    <row r="1744" spans="2:19" s="164" customFormat="1" x14ac:dyDescent="0.2">
      <c r="B1744" s="458"/>
      <c r="C1744" s="437"/>
      <c r="D1744" s="437"/>
      <c r="E1744" s="452"/>
      <c r="F1744" s="437"/>
      <c r="G1744" s="443"/>
      <c r="H1744" s="449"/>
      <c r="I1744" s="408"/>
      <c r="J1744" s="408"/>
      <c r="K1744" s="408"/>
      <c r="L1744" s="391"/>
      <c r="M1744" s="408"/>
      <c r="N1744" s="408"/>
      <c r="O1744" s="408"/>
      <c r="P1744" s="391"/>
      <c r="Q1744" s="408"/>
      <c r="R1744" s="408"/>
      <c r="S1744" s="408"/>
    </row>
    <row r="1745" spans="2:19" ht="15.75" x14ac:dyDescent="0.2">
      <c r="B1745" s="48">
        <v>1</v>
      </c>
      <c r="C1745" s="453" t="s">
        <v>24</v>
      </c>
      <c r="D1745" s="454"/>
      <c r="E1745" s="454"/>
      <c r="F1745" s="454"/>
      <c r="G1745" s="454"/>
      <c r="H1745" s="454"/>
      <c r="I1745" s="49">
        <f>I1746</f>
        <v>385260</v>
      </c>
      <c r="J1745" s="49">
        <f>J1746</f>
        <v>19250</v>
      </c>
      <c r="K1745" s="49">
        <f>I1745+J1745</f>
        <v>404510</v>
      </c>
      <c r="L1745" s="394"/>
      <c r="M1745" s="49">
        <f>M1746</f>
        <v>1650</v>
      </c>
      <c r="N1745" s="49">
        <f>N1746</f>
        <v>0</v>
      </c>
      <c r="O1745" s="49">
        <f>M1745+N1745</f>
        <v>1650</v>
      </c>
      <c r="P1745" s="392"/>
      <c r="Q1745" s="50">
        <f t="shared" ref="Q1745:Q1765" si="314">I1745+M1745</f>
        <v>386910</v>
      </c>
      <c r="R1745" s="50">
        <f t="shared" ref="R1745:R1765" si="315">J1745+N1745</f>
        <v>19250</v>
      </c>
      <c r="S1745" s="50">
        <f t="shared" ref="S1745:S1765" si="316">K1745+O1745</f>
        <v>406160</v>
      </c>
    </row>
    <row r="1746" spans="2:19" ht="15" x14ac:dyDescent="0.2">
      <c r="B1746" s="48">
        <f t="shared" ref="B1746:B1765" si="317">B1745+1</f>
        <v>2</v>
      </c>
      <c r="C1746" s="51">
        <v>1</v>
      </c>
      <c r="D1746" s="435" t="s">
        <v>156</v>
      </c>
      <c r="E1746" s="436"/>
      <c r="F1746" s="436"/>
      <c r="G1746" s="436"/>
      <c r="H1746" s="436"/>
      <c r="I1746" s="52">
        <f>I1747+I1758</f>
        <v>385260</v>
      </c>
      <c r="J1746" s="52">
        <f>J1747+J1758</f>
        <v>19250</v>
      </c>
      <c r="K1746" s="52">
        <f t="shared" ref="K1746:K1765" si="318">I1746+J1746</f>
        <v>404510</v>
      </c>
      <c r="L1746" s="53"/>
      <c r="M1746" s="52">
        <f>M1747+M1758</f>
        <v>1650</v>
      </c>
      <c r="N1746" s="52">
        <f>N1747+N1758</f>
        <v>0</v>
      </c>
      <c r="O1746" s="52">
        <f t="shared" ref="O1746:O1756" si="319">M1746+N1746</f>
        <v>1650</v>
      </c>
      <c r="P1746" s="54"/>
      <c r="Q1746" s="72">
        <f t="shared" si="314"/>
        <v>386910</v>
      </c>
      <c r="R1746" s="72">
        <f t="shared" si="315"/>
        <v>19250</v>
      </c>
      <c r="S1746" s="72">
        <f t="shared" si="316"/>
        <v>406160</v>
      </c>
    </row>
    <row r="1747" spans="2:19" ht="15" x14ac:dyDescent="0.25">
      <c r="B1747" s="48">
        <f t="shared" si="317"/>
        <v>3</v>
      </c>
      <c r="C1747" s="69"/>
      <c r="D1747" s="69">
        <v>1</v>
      </c>
      <c r="E1747" s="433" t="s">
        <v>155</v>
      </c>
      <c r="F1747" s="434"/>
      <c r="G1747" s="434"/>
      <c r="H1747" s="434"/>
      <c r="I1747" s="70">
        <f>I1748+I1752</f>
        <v>336500</v>
      </c>
      <c r="J1747" s="70">
        <f>J1748+J1752</f>
        <v>19250</v>
      </c>
      <c r="K1747" s="70">
        <f t="shared" si="318"/>
        <v>355750</v>
      </c>
      <c r="L1747" s="58"/>
      <c r="M1747" s="70">
        <f>M1754</f>
        <v>1650</v>
      </c>
      <c r="N1747" s="70">
        <f>N1754</f>
        <v>0</v>
      </c>
      <c r="O1747" s="70">
        <f t="shared" si="319"/>
        <v>1650</v>
      </c>
      <c r="P1747" s="59"/>
      <c r="Q1747" s="71">
        <f t="shared" si="314"/>
        <v>338150</v>
      </c>
      <c r="R1747" s="71">
        <f t="shared" si="315"/>
        <v>19250</v>
      </c>
      <c r="S1747" s="71">
        <f t="shared" si="316"/>
        <v>357400</v>
      </c>
    </row>
    <row r="1748" spans="2:19" x14ac:dyDescent="0.2">
      <c r="B1748" s="48">
        <f t="shared" si="317"/>
        <v>4</v>
      </c>
      <c r="C1748" s="9"/>
      <c r="D1748" s="9"/>
      <c r="E1748" s="9"/>
      <c r="F1748" s="61" t="s">
        <v>154</v>
      </c>
      <c r="G1748" s="8">
        <v>630</v>
      </c>
      <c r="H1748" s="9" t="s">
        <v>122</v>
      </c>
      <c r="I1748" s="62">
        <f>SUM(I1749:I1751)</f>
        <v>263000</v>
      </c>
      <c r="J1748" s="62">
        <f>SUM(J1749:J1751)</f>
        <v>12250</v>
      </c>
      <c r="K1748" s="62">
        <f t="shared" si="318"/>
        <v>275250</v>
      </c>
      <c r="L1748" s="62"/>
      <c r="M1748" s="62"/>
      <c r="N1748" s="62"/>
      <c r="O1748" s="62">
        <f t="shared" si="319"/>
        <v>0</v>
      </c>
      <c r="P1748" s="63"/>
      <c r="Q1748" s="64">
        <f t="shared" si="314"/>
        <v>263000</v>
      </c>
      <c r="R1748" s="64">
        <f t="shared" si="315"/>
        <v>12250</v>
      </c>
      <c r="S1748" s="64">
        <f t="shared" si="316"/>
        <v>275250</v>
      </c>
    </row>
    <row r="1749" spans="2:19" x14ac:dyDescent="0.2">
      <c r="B1749" s="48">
        <f t="shared" si="317"/>
        <v>5</v>
      </c>
      <c r="C1749" s="11"/>
      <c r="D1749" s="11"/>
      <c r="E1749" s="11"/>
      <c r="F1749" s="65"/>
      <c r="G1749" s="10">
        <v>635</v>
      </c>
      <c r="H1749" s="11" t="s">
        <v>134</v>
      </c>
      <c r="I1749" s="66">
        <v>10000</v>
      </c>
      <c r="J1749" s="66"/>
      <c r="K1749" s="66">
        <f t="shared" si="318"/>
        <v>10000</v>
      </c>
      <c r="L1749" s="66"/>
      <c r="M1749" s="66"/>
      <c r="N1749" s="66"/>
      <c r="O1749" s="66">
        <f t="shared" si="319"/>
        <v>0</v>
      </c>
      <c r="P1749" s="67"/>
      <c r="Q1749" s="68">
        <f t="shared" si="314"/>
        <v>10000</v>
      </c>
      <c r="R1749" s="68">
        <f t="shared" si="315"/>
        <v>0</v>
      </c>
      <c r="S1749" s="68">
        <f t="shared" si="316"/>
        <v>10000</v>
      </c>
    </row>
    <row r="1750" spans="2:19" x14ac:dyDescent="0.2">
      <c r="B1750" s="48">
        <f t="shared" si="317"/>
        <v>6</v>
      </c>
      <c r="C1750" s="11"/>
      <c r="D1750" s="11"/>
      <c r="E1750" s="11"/>
      <c r="F1750" s="65"/>
      <c r="G1750" s="10">
        <v>636</v>
      </c>
      <c r="H1750" s="11" t="s">
        <v>127</v>
      </c>
      <c r="I1750" s="66">
        <v>9000</v>
      </c>
      <c r="J1750" s="66">
        <v>600</v>
      </c>
      <c r="K1750" s="66">
        <f t="shared" si="318"/>
        <v>9600</v>
      </c>
      <c r="L1750" s="66"/>
      <c r="M1750" s="66"/>
      <c r="N1750" s="66"/>
      <c r="O1750" s="66">
        <f t="shared" si="319"/>
        <v>0</v>
      </c>
      <c r="P1750" s="67"/>
      <c r="Q1750" s="68">
        <f t="shared" si="314"/>
        <v>9000</v>
      </c>
      <c r="R1750" s="68">
        <f t="shared" si="315"/>
        <v>600</v>
      </c>
      <c r="S1750" s="68">
        <f t="shared" si="316"/>
        <v>9600</v>
      </c>
    </row>
    <row r="1751" spans="2:19" ht="12.75" customHeight="1" x14ac:dyDescent="0.2">
      <c r="B1751" s="48">
        <f t="shared" si="317"/>
        <v>7</v>
      </c>
      <c r="C1751" s="11"/>
      <c r="D1751" s="11"/>
      <c r="E1751" s="11"/>
      <c r="F1751" s="65"/>
      <c r="G1751" s="10">
        <v>637</v>
      </c>
      <c r="H1751" s="11" t="s">
        <v>123</v>
      </c>
      <c r="I1751" s="66">
        <v>244000</v>
      </c>
      <c r="J1751" s="66">
        <v>11650</v>
      </c>
      <c r="K1751" s="66">
        <f t="shared" si="318"/>
        <v>255650</v>
      </c>
      <c r="L1751" s="66"/>
      <c r="M1751" s="66"/>
      <c r="N1751" s="66"/>
      <c r="O1751" s="66">
        <f t="shared" si="319"/>
        <v>0</v>
      </c>
      <c r="P1751" s="67"/>
      <c r="Q1751" s="68">
        <f t="shared" si="314"/>
        <v>244000</v>
      </c>
      <c r="R1751" s="68">
        <f t="shared" si="315"/>
        <v>11650</v>
      </c>
      <c r="S1751" s="68">
        <f t="shared" si="316"/>
        <v>255650</v>
      </c>
    </row>
    <row r="1752" spans="2:19" x14ac:dyDescent="0.2">
      <c r="B1752" s="48">
        <f t="shared" si="317"/>
        <v>8</v>
      </c>
      <c r="C1752" s="9"/>
      <c r="D1752" s="9"/>
      <c r="E1752" s="9"/>
      <c r="F1752" s="61" t="s">
        <v>154</v>
      </c>
      <c r="G1752" s="8">
        <v>640</v>
      </c>
      <c r="H1752" s="9" t="s">
        <v>130</v>
      </c>
      <c r="I1752" s="62">
        <f>I1753</f>
        <v>73500</v>
      </c>
      <c r="J1752" s="62">
        <f>J1753</f>
        <v>7000</v>
      </c>
      <c r="K1752" s="62">
        <f t="shared" si="318"/>
        <v>80500</v>
      </c>
      <c r="L1752" s="62"/>
      <c r="M1752" s="62"/>
      <c r="N1752" s="62"/>
      <c r="O1752" s="62">
        <f t="shared" si="319"/>
        <v>0</v>
      </c>
      <c r="P1752" s="63"/>
      <c r="Q1752" s="64">
        <f t="shared" si="314"/>
        <v>73500</v>
      </c>
      <c r="R1752" s="64">
        <f t="shared" si="315"/>
        <v>7000</v>
      </c>
      <c r="S1752" s="64">
        <f t="shared" si="316"/>
        <v>80500</v>
      </c>
    </row>
    <row r="1753" spans="2:19" x14ac:dyDescent="0.2">
      <c r="B1753" s="48">
        <f t="shared" si="317"/>
        <v>9</v>
      </c>
      <c r="C1753" s="11"/>
      <c r="D1753" s="11"/>
      <c r="E1753" s="11"/>
      <c r="F1753" s="65"/>
      <c r="G1753" s="10">
        <v>642</v>
      </c>
      <c r="H1753" s="11" t="s">
        <v>131</v>
      </c>
      <c r="I1753" s="66">
        <v>73500</v>
      </c>
      <c r="J1753" s="66">
        <v>7000</v>
      </c>
      <c r="K1753" s="66">
        <f t="shared" si="318"/>
        <v>80500</v>
      </c>
      <c r="L1753" s="66"/>
      <c r="M1753" s="66"/>
      <c r="N1753" s="66"/>
      <c r="O1753" s="66">
        <f t="shared" si="319"/>
        <v>0</v>
      </c>
      <c r="P1753" s="67"/>
      <c r="Q1753" s="68">
        <f t="shared" si="314"/>
        <v>73500</v>
      </c>
      <c r="R1753" s="68">
        <f t="shared" si="315"/>
        <v>7000</v>
      </c>
      <c r="S1753" s="68">
        <f t="shared" si="316"/>
        <v>80500</v>
      </c>
    </row>
    <row r="1754" spans="2:19" x14ac:dyDescent="0.2">
      <c r="B1754" s="48">
        <f t="shared" si="317"/>
        <v>10</v>
      </c>
      <c r="C1754" s="9"/>
      <c r="D1754" s="9"/>
      <c r="E1754" s="9"/>
      <c r="F1754" s="61" t="s">
        <v>154</v>
      </c>
      <c r="G1754" s="8">
        <v>710</v>
      </c>
      <c r="H1754" s="9" t="s">
        <v>176</v>
      </c>
      <c r="I1754" s="62"/>
      <c r="J1754" s="62"/>
      <c r="K1754" s="62">
        <f t="shared" si="318"/>
        <v>0</v>
      </c>
      <c r="L1754" s="62"/>
      <c r="M1754" s="62">
        <f>M1755</f>
        <v>1650</v>
      </c>
      <c r="N1754" s="62">
        <f>N1755</f>
        <v>0</v>
      </c>
      <c r="O1754" s="62">
        <f t="shared" si="319"/>
        <v>1650</v>
      </c>
      <c r="P1754" s="63"/>
      <c r="Q1754" s="64">
        <f t="shared" si="314"/>
        <v>1650</v>
      </c>
      <c r="R1754" s="64">
        <f t="shared" si="315"/>
        <v>0</v>
      </c>
      <c r="S1754" s="64">
        <f t="shared" si="316"/>
        <v>1650</v>
      </c>
    </row>
    <row r="1755" spans="2:19" x14ac:dyDescent="0.2">
      <c r="B1755" s="48">
        <f t="shared" si="317"/>
        <v>11</v>
      </c>
      <c r="C1755" s="11"/>
      <c r="D1755" s="11"/>
      <c r="E1755" s="11"/>
      <c r="F1755" s="65"/>
      <c r="G1755" s="10">
        <v>717</v>
      </c>
      <c r="H1755" s="11" t="s">
        <v>183</v>
      </c>
      <c r="I1755" s="66"/>
      <c r="J1755" s="66"/>
      <c r="K1755" s="66">
        <f t="shared" si="318"/>
        <v>0</v>
      </c>
      <c r="L1755" s="66"/>
      <c r="M1755" s="66">
        <f>M1756</f>
        <v>1650</v>
      </c>
      <c r="N1755" s="66">
        <f>N1756</f>
        <v>0</v>
      </c>
      <c r="O1755" s="66">
        <f t="shared" si="319"/>
        <v>1650</v>
      </c>
      <c r="P1755" s="67"/>
      <c r="Q1755" s="68">
        <f t="shared" si="314"/>
        <v>1650</v>
      </c>
      <c r="R1755" s="68">
        <f t="shared" si="315"/>
        <v>0</v>
      </c>
      <c r="S1755" s="68">
        <f t="shared" si="316"/>
        <v>1650</v>
      </c>
    </row>
    <row r="1756" spans="2:19" x14ac:dyDescent="0.2">
      <c r="B1756" s="48">
        <f t="shared" si="317"/>
        <v>12</v>
      </c>
      <c r="C1756" s="81"/>
      <c r="D1756" s="81"/>
      <c r="E1756" s="81"/>
      <c r="F1756" s="12"/>
      <c r="G1756" s="12"/>
      <c r="H1756" s="13" t="s">
        <v>451</v>
      </c>
      <c r="I1756" s="83"/>
      <c r="J1756" s="83"/>
      <c r="K1756" s="83">
        <f t="shared" si="318"/>
        <v>0</v>
      </c>
      <c r="L1756" s="83"/>
      <c r="M1756" s="83">
        <v>1650</v>
      </c>
      <c r="N1756" s="83"/>
      <c r="O1756" s="83">
        <f t="shared" si="319"/>
        <v>1650</v>
      </c>
      <c r="P1756" s="84"/>
      <c r="Q1756" s="85">
        <f t="shared" si="314"/>
        <v>1650</v>
      </c>
      <c r="R1756" s="85">
        <f t="shared" si="315"/>
        <v>0</v>
      </c>
      <c r="S1756" s="85">
        <f t="shared" si="316"/>
        <v>1650</v>
      </c>
    </row>
    <row r="1757" spans="2:19" ht="15" x14ac:dyDescent="0.25">
      <c r="B1757" s="48">
        <f t="shared" si="317"/>
        <v>13</v>
      </c>
      <c r="C1757" s="69"/>
      <c r="D1757" s="69">
        <v>2</v>
      </c>
      <c r="E1757" s="433" t="s">
        <v>343</v>
      </c>
      <c r="F1757" s="434"/>
      <c r="G1757" s="434"/>
      <c r="H1757" s="434"/>
      <c r="I1757" s="70">
        <v>0</v>
      </c>
      <c r="J1757" s="70">
        <v>0</v>
      </c>
      <c r="K1757" s="70">
        <f t="shared" si="318"/>
        <v>0</v>
      </c>
      <c r="L1757" s="58"/>
      <c r="M1757" s="70"/>
      <c r="N1757" s="70"/>
      <c r="O1757" s="70"/>
      <c r="P1757" s="59"/>
      <c r="Q1757" s="71">
        <f t="shared" si="314"/>
        <v>0</v>
      </c>
      <c r="R1757" s="71">
        <f t="shared" si="315"/>
        <v>0</v>
      </c>
      <c r="S1757" s="71">
        <f t="shared" si="316"/>
        <v>0</v>
      </c>
    </row>
    <row r="1758" spans="2:19" ht="15" x14ac:dyDescent="0.25">
      <c r="B1758" s="48">
        <f t="shared" si="317"/>
        <v>14</v>
      </c>
      <c r="C1758" s="69"/>
      <c r="D1758" s="69">
        <v>3</v>
      </c>
      <c r="E1758" s="433" t="s">
        <v>187</v>
      </c>
      <c r="F1758" s="434"/>
      <c r="G1758" s="434"/>
      <c r="H1758" s="434"/>
      <c r="I1758" s="70">
        <f>I1759+I1760+I1761+I1765</f>
        <v>48760</v>
      </c>
      <c r="J1758" s="70">
        <f>J1759+J1760+J1761+J1765</f>
        <v>0</v>
      </c>
      <c r="K1758" s="70">
        <f t="shared" si="318"/>
        <v>48760</v>
      </c>
      <c r="L1758" s="58"/>
      <c r="M1758" s="70"/>
      <c r="N1758" s="70"/>
      <c r="O1758" s="70"/>
      <c r="P1758" s="59"/>
      <c r="Q1758" s="71">
        <f t="shared" si="314"/>
        <v>48760</v>
      </c>
      <c r="R1758" s="71">
        <f t="shared" si="315"/>
        <v>0</v>
      </c>
      <c r="S1758" s="71">
        <f t="shared" si="316"/>
        <v>48760</v>
      </c>
    </row>
    <row r="1759" spans="2:19" x14ac:dyDescent="0.2">
      <c r="B1759" s="48">
        <f t="shared" si="317"/>
        <v>15</v>
      </c>
      <c r="C1759" s="9"/>
      <c r="D1759" s="9"/>
      <c r="E1759" s="9"/>
      <c r="F1759" s="61" t="s">
        <v>186</v>
      </c>
      <c r="G1759" s="8">
        <v>610</v>
      </c>
      <c r="H1759" s="9" t="s">
        <v>132</v>
      </c>
      <c r="I1759" s="62">
        <f>17700+11500+4000</f>
        <v>33200</v>
      </c>
      <c r="J1759" s="62"/>
      <c r="K1759" s="62">
        <f t="shared" si="318"/>
        <v>33200</v>
      </c>
      <c r="L1759" s="62"/>
      <c r="M1759" s="62"/>
      <c r="N1759" s="62"/>
      <c r="O1759" s="62"/>
      <c r="P1759" s="63"/>
      <c r="Q1759" s="64">
        <f t="shared" si="314"/>
        <v>33200</v>
      </c>
      <c r="R1759" s="64">
        <f t="shared" si="315"/>
        <v>0</v>
      </c>
      <c r="S1759" s="64">
        <f t="shared" si="316"/>
        <v>33200</v>
      </c>
    </row>
    <row r="1760" spans="2:19" x14ac:dyDescent="0.2">
      <c r="B1760" s="48">
        <f t="shared" si="317"/>
        <v>16</v>
      </c>
      <c r="C1760" s="9"/>
      <c r="D1760" s="9"/>
      <c r="E1760" s="9"/>
      <c r="F1760" s="61" t="s">
        <v>186</v>
      </c>
      <c r="G1760" s="8">
        <v>620</v>
      </c>
      <c r="H1760" s="9" t="s">
        <v>125</v>
      </c>
      <c r="I1760" s="62">
        <f>2500+400+1840+2700+250+920+300+1400+500</f>
        <v>10810</v>
      </c>
      <c r="J1760" s="62"/>
      <c r="K1760" s="62">
        <f t="shared" si="318"/>
        <v>10810</v>
      </c>
      <c r="L1760" s="62"/>
      <c r="M1760" s="62"/>
      <c r="N1760" s="62"/>
      <c r="O1760" s="62"/>
      <c r="P1760" s="63"/>
      <c r="Q1760" s="64">
        <f t="shared" si="314"/>
        <v>10810</v>
      </c>
      <c r="R1760" s="64">
        <f t="shared" si="315"/>
        <v>0</v>
      </c>
      <c r="S1760" s="64">
        <f t="shared" si="316"/>
        <v>10810</v>
      </c>
    </row>
    <row r="1761" spans="2:19" x14ac:dyDescent="0.2">
      <c r="B1761" s="48">
        <f t="shared" si="317"/>
        <v>17</v>
      </c>
      <c r="C1761" s="9"/>
      <c r="D1761" s="9"/>
      <c r="E1761" s="9"/>
      <c r="F1761" s="61" t="s">
        <v>186</v>
      </c>
      <c r="G1761" s="8">
        <v>630</v>
      </c>
      <c r="H1761" s="9" t="s">
        <v>122</v>
      </c>
      <c r="I1761" s="62">
        <f>SUM(I1762:I1764)</f>
        <v>2250</v>
      </c>
      <c r="J1761" s="62">
        <f>SUM(J1762:J1764)</f>
        <v>0</v>
      </c>
      <c r="K1761" s="62">
        <f t="shared" si="318"/>
        <v>2250</v>
      </c>
      <c r="L1761" s="62"/>
      <c r="M1761" s="62"/>
      <c r="N1761" s="62"/>
      <c r="O1761" s="62"/>
      <c r="P1761" s="63"/>
      <c r="Q1761" s="64">
        <f t="shared" si="314"/>
        <v>2250</v>
      </c>
      <c r="R1761" s="64">
        <f t="shared" si="315"/>
        <v>0</v>
      </c>
      <c r="S1761" s="64">
        <f t="shared" si="316"/>
        <v>2250</v>
      </c>
    </row>
    <row r="1762" spans="2:19" x14ac:dyDescent="0.2">
      <c r="B1762" s="48">
        <f t="shared" si="317"/>
        <v>18</v>
      </c>
      <c r="C1762" s="11"/>
      <c r="D1762" s="11"/>
      <c r="E1762" s="11"/>
      <c r="F1762" s="65"/>
      <c r="G1762" s="10">
        <v>632</v>
      </c>
      <c r="H1762" s="11" t="s">
        <v>135</v>
      </c>
      <c r="I1762" s="66">
        <f>500</f>
        <v>500</v>
      </c>
      <c r="J1762" s="66"/>
      <c r="K1762" s="66">
        <f t="shared" si="318"/>
        <v>500</v>
      </c>
      <c r="L1762" s="66"/>
      <c r="M1762" s="66"/>
      <c r="N1762" s="66"/>
      <c r="O1762" s="66"/>
      <c r="P1762" s="67"/>
      <c r="Q1762" s="68">
        <f t="shared" si="314"/>
        <v>500</v>
      </c>
      <c r="R1762" s="68">
        <f t="shared" si="315"/>
        <v>0</v>
      </c>
      <c r="S1762" s="68">
        <f t="shared" si="316"/>
        <v>500</v>
      </c>
    </row>
    <row r="1763" spans="2:19" x14ac:dyDescent="0.2">
      <c r="B1763" s="48">
        <f t="shared" si="317"/>
        <v>19</v>
      </c>
      <c r="C1763" s="11"/>
      <c r="D1763" s="11"/>
      <c r="E1763" s="11"/>
      <c r="F1763" s="65"/>
      <c r="G1763" s="10">
        <v>633</v>
      </c>
      <c r="H1763" s="11" t="s">
        <v>126</v>
      </c>
      <c r="I1763" s="66">
        <f>400+300</f>
        <v>700</v>
      </c>
      <c r="J1763" s="66"/>
      <c r="K1763" s="66">
        <f t="shared" si="318"/>
        <v>700</v>
      </c>
      <c r="L1763" s="66"/>
      <c r="M1763" s="66"/>
      <c r="N1763" s="66"/>
      <c r="O1763" s="66"/>
      <c r="P1763" s="67"/>
      <c r="Q1763" s="68">
        <f t="shared" si="314"/>
        <v>700</v>
      </c>
      <c r="R1763" s="68">
        <f t="shared" si="315"/>
        <v>0</v>
      </c>
      <c r="S1763" s="68">
        <f t="shared" si="316"/>
        <v>700</v>
      </c>
    </row>
    <row r="1764" spans="2:19" x14ac:dyDescent="0.2">
      <c r="B1764" s="48">
        <f t="shared" si="317"/>
        <v>20</v>
      </c>
      <c r="C1764" s="11"/>
      <c r="D1764" s="11"/>
      <c r="E1764" s="11"/>
      <c r="F1764" s="65"/>
      <c r="G1764" s="10">
        <v>637</v>
      </c>
      <c r="H1764" s="11" t="s">
        <v>123</v>
      </c>
      <c r="I1764" s="66">
        <f>600+450</f>
        <v>1050</v>
      </c>
      <c r="J1764" s="66"/>
      <c r="K1764" s="66">
        <f t="shared" si="318"/>
        <v>1050</v>
      </c>
      <c r="L1764" s="66"/>
      <c r="M1764" s="66"/>
      <c r="N1764" s="66"/>
      <c r="O1764" s="66"/>
      <c r="P1764" s="67"/>
      <c r="Q1764" s="68">
        <f t="shared" si="314"/>
        <v>1050</v>
      </c>
      <c r="R1764" s="68">
        <f t="shared" si="315"/>
        <v>0</v>
      </c>
      <c r="S1764" s="68">
        <f t="shared" si="316"/>
        <v>1050</v>
      </c>
    </row>
    <row r="1765" spans="2:19" x14ac:dyDescent="0.2">
      <c r="B1765" s="48">
        <f t="shared" si="317"/>
        <v>21</v>
      </c>
      <c r="C1765" s="309"/>
      <c r="D1765" s="309"/>
      <c r="E1765" s="309"/>
      <c r="F1765" s="310" t="s">
        <v>186</v>
      </c>
      <c r="G1765" s="311">
        <v>640</v>
      </c>
      <c r="H1765" s="309" t="s">
        <v>130</v>
      </c>
      <c r="I1765" s="312">
        <f>1900+600</f>
        <v>2500</v>
      </c>
      <c r="J1765" s="312"/>
      <c r="K1765" s="312">
        <f t="shared" si="318"/>
        <v>2500</v>
      </c>
      <c r="L1765" s="312"/>
      <c r="M1765" s="312"/>
      <c r="N1765" s="312"/>
      <c r="O1765" s="312"/>
      <c r="P1765" s="313"/>
      <c r="Q1765" s="314">
        <f t="shared" si="314"/>
        <v>2500</v>
      </c>
      <c r="R1765" s="314">
        <f t="shared" si="315"/>
        <v>0</v>
      </c>
      <c r="S1765" s="314">
        <f t="shared" si="316"/>
        <v>2500</v>
      </c>
    </row>
    <row r="1766" spans="2:19" x14ac:dyDescent="0.2">
      <c r="B1766" s="1"/>
      <c r="F1766" s="1"/>
      <c r="G1766" s="1"/>
      <c r="I1766" s="1"/>
      <c r="J1766" s="1"/>
      <c r="K1766" s="1"/>
      <c r="N1766" s="14"/>
      <c r="O1766" s="14"/>
      <c r="P1766" s="14">
        <f t="shared" ref="P1766" si="320">SUM(P1:P1765)</f>
        <v>0</v>
      </c>
      <c r="Q1766" s="1"/>
    </row>
    <row r="1767" spans="2:19" x14ac:dyDescent="0.2">
      <c r="B1767" s="1"/>
      <c r="F1767" s="1"/>
      <c r="G1767" s="1"/>
      <c r="I1767" s="1"/>
      <c r="J1767" s="1"/>
      <c r="K1767" s="1"/>
      <c r="L1767" s="1"/>
      <c r="M1767" s="1"/>
      <c r="N1767" s="1"/>
      <c r="O1767" s="1"/>
      <c r="P1767" s="1"/>
      <c r="Q1767" s="1"/>
    </row>
    <row r="1768" spans="2:19" x14ac:dyDescent="0.2">
      <c r="B1768" s="1"/>
      <c r="F1768" s="1"/>
      <c r="G1768" s="1"/>
      <c r="I1768" s="1"/>
      <c r="J1768" s="1"/>
      <c r="K1768" s="1"/>
      <c r="L1768" s="1"/>
      <c r="M1768" s="1"/>
      <c r="N1768" s="1"/>
      <c r="O1768" s="1"/>
      <c r="P1768" s="1"/>
      <c r="Q1768" s="1"/>
    </row>
    <row r="1769" spans="2:19" x14ac:dyDescent="0.2">
      <c r="B1769" s="1"/>
      <c r="F1769" s="1"/>
      <c r="G1769" s="1"/>
      <c r="I1769" s="1"/>
      <c r="J1769" s="1"/>
      <c r="K1769" s="1"/>
      <c r="L1769" s="1"/>
      <c r="M1769" s="1"/>
      <c r="N1769" s="1"/>
      <c r="O1769" s="1"/>
      <c r="P1769" s="1"/>
      <c r="Q1769" s="1"/>
    </row>
    <row r="1770" spans="2:19" x14ac:dyDescent="0.2">
      <c r="B1770" s="1"/>
      <c r="F1770" s="1"/>
      <c r="G1770" s="1"/>
      <c r="I1770" s="1"/>
      <c r="J1770" s="1"/>
      <c r="K1770" s="1"/>
      <c r="L1770" s="1"/>
      <c r="M1770" s="1"/>
      <c r="N1770" s="1"/>
      <c r="O1770" s="1"/>
      <c r="P1770" s="1"/>
      <c r="Q1770" s="1"/>
    </row>
    <row r="1771" spans="2:19" x14ac:dyDescent="0.2">
      <c r="B1771" s="1"/>
      <c r="F1771" s="1"/>
      <c r="G1771" s="1"/>
      <c r="I1771" s="1"/>
      <c r="J1771" s="1"/>
      <c r="K1771" s="1"/>
      <c r="L1771" s="1"/>
      <c r="M1771" s="1"/>
      <c r="N1771" s="1"/>
      <c r="O1771" s="1"/>
      <c r="P1771" s="1"/>
      <c r="Q1771" s="1"/>
    </row>
    <row r="1772" spans="2:19" x14ac:dyDescent="0.2">
      <c r="B1772" s="1"/>
      <c r="F1772" s="1"/>
      <c r="G1772" s="1"/>
      <c r="I1772" s="1"/>
      <c r="J1772" s="1"/>
      <c r="K1772" s="1"/>
      <c r="L1772" s="1"/>
      <c r="M1772" s="1"/>
      <c r="N1772" s="1"/>
      <c r="O1772" s="1"/>
      <c r="P1772" s="1"/>
      <c r="Q1772" s="1"/>
    </row>
    <row r="1773" spans="2:19" x14ac:dyDescent="0.2">
      <c r="B1773" s="1"/>
      <c r="F1773" s="1"/>
      <c r="G1773" s="1"/>
      <c r="I1773" s="1"/>
      <c r="J1773" s="1"/>
      <c r="K1773" s="1"/>
      <c r="L1773" s="1"/>
      <c r="M1773" s="1"/>
      <c r="N1773" s="1"/>
      <c r="O1773" s="1"/>
      <c r="P1773" s="1"/>
      <c r="Q1773" s="1"/>
    </row>
    <row r="1774" spans="2:19" x14ac:dyDescent="0.2">
      <c r="B1774" s="1"/>
      <c r="F1774" s="1"/>
      <c r="G1774" s="1"/>
      <c r="I1774" s="1"/>
      <c r="J1774" s="1"/>
      <c r="K1774" s="1"/>
      <c r="L1774" s="1"/>
      <c r="M1774" s="1"/>
      <c r="N1774" s="1"/>
      <c r="O1774" s="1"/>
      <c r="P1774" s="1"/>
      <c r="Q1774" s="1"/>
    </row>
    <row r="1775" spans="2:19" x14ac:dyDescent="0.2">
      <c r="B1775" s="1"/>
      <c r="F1775" s="1"/>
      <c r="G1775" s="1"/>
      <c r="I1775" s="1"/>
      <c r="J1775" s="1"/>
      <c r="K1775" s="1"/>
      <c r="L1775" s="1"/>
      <c r="M1775" s="1"/>
      <c r="N1775" s="1"/>
      <c r="O1775" s="1"/>
      <c r="P1775" s="1"/>
      <c r="Q1775" s="1"/>
    </row>
    <row r="1776" spans="2:19" x14ac:dyDescent="0.2">
      <c r="B1776" s="1"/>
      <c r="F1776" s="1"/>
      <c r="G1776" s="1"/>
      <c r="I1776" s="1"/>
      <c r="J1776" s="1"/>
      <c r="K1776" s="1"/>
      <c r="L1776" s="1"/>
      <c r="M1776" s="1"/>
      <c r="N1776" s="1"/>
      <c r="O1776" s="1"/>
      <c r="P1776" s="1"/>
      <c r="Q1776" s="1"/>
    </row>
    <row r="1777" s="1" customFormat="1" x14ac:dyDescent="0.2"/>
    <row r="1778" s="1" customFormat="1" x14ac:dyDescent="0.2"/>
    <row r="1779" s="1" customFormat="1" x14ac:dyDescent="0.2"/>
    <row r="1780" s="1" customFormat="1" x14ac:dyDescent="0.2"/>
    <row r="1781" s="1" customFormat="1" x14ac:dyDescent="0.2"/>
    <row r="1782" s="1" customFormat="1" x14ac:dyDescent="0.2"/>
    <row r="1783" s="1" customFormat="1" x14ac:dyDescent="0.2"/>
    <row r="1784" s="1" customFormat="1" x14ac:dyDescent="0.2"/>
    <row r="1785" s="1" customFormat="1" x14ac:dyDescent="0.2"/>
    <row r="1786" s="1" customFormat="1" x14ac:dyDescent="0.2"/>
    <row r="1787" s="1" customFormat="1" x14ac:dyDescent="0.2"/>
    <row r="1788" s="79" customFormat="1" x14ac:dyDescent="0.2"/>
    <row r="1789" s="1" customFormat="1" x14ac:dyDescent="0.2"/>
    <row r="1790" s="1" customFormat="1" x14ac:dyDescent="0.2"/>
    <row r="1791" s="1" customFormat="1" x14ac:dyDescent="0.2"/>
    <row r="1792" s="1" customFormat="1" x14ac:dyDescent="0.2"/>
    <row r="1793" s="1" customFormat="1" x14ac:dyDescent="0.2"/>
    <row r="1794" s="1" customFormat="1" x14ac:dyDescent="0.2"/>
    <row r="1795" s="1" customFormat="1" x14ac:dyDescent="0.2"/>
    <row r="1796" s="1" customFormat="1" x14ac:dyDescent="0.2"/>
    <row r="1797" s="1" customFormat="1" x14ac:dyDescent="0.2"/>
    <row r="1798" s="1" customFormat="1" x14ac:dyDescent="0.2"/>
    <row r="1799" s="1" customFormat="1" x14ac:dyDescent="0.2"/>
    <row r="1800" s="1" customFormat="1" x14ac:dyDescent="0.2"/>
    <row r="1801" s="1" customFormat="1" x14ac:dyDescent="0.2"/>
    <row r="1802" s="1" customFormat="1" x14ac:dyDescent="0.2"/>
    <row r="1803" s="1" customFormat="1" x14ac:dyDescent="0.2"/>
    <row r="1804" s="1" customFormat="1" x14ac:dyDescent="0.2"/>
    <row r="1805" s="1" customFormat="1" x14ac:dyDescent="0.2"/>
    <row r="1806" s="1" customFormat="1" x14ac:dyDescent="0.2"/>
    <row r="1807" s="1" customFormat="1" x14ac:dyDescent="0.2"/>
    <row r="1808" s="1" customFormat="1" x14ac:dyDescent="0.2"/>
    <row r="1809" s="1" customFormat="1" x14ac:dyDescent="0.2"/>
    <row r="1810" s="1" customFormat="1" x14ac:dyDescent="0.2"/>
    <row r="1811" s="1" customFormat="1" x14ac:dyDescent="0.2"/>
    <row r="1812" s="1" customFormat="1" x14ac:dyDescent="0.2"/>
    <row r="1813" s="1" customFormat="1" x14ac:dyDescent="0.2"/>
    <row r="1814" s="1" customFormat="1" x14ac:dyDescent="0.2"/>
    <row r="1815" s="1" customFormat="1" x14ac:dyDescent="0.2"/>
    <row r="1816" s="1" customFormat="1" x14ac:dyDescent="0.2"/>
    <row r="1817" s="1" customFormat="1" x14ac:dyDescent="0.2"/>
    <row r="1818" s="1" customFormat="1" x14ac:dyDescent="0.2"/>
    <row r="1819" s="1" customFormat="1" x14ac:dyDescent="0.2"/>
    <row r="1820" s="1" customFormat="1" x14ac:dyDescent="0.2"/>
    <row r="1821" s="1" customFormat="1" x14ac:dyDescent="0.2"/>
    <row r="1822" s="1" customFormat="1" x14ac:dyDescent="0.2"/>
    <row r="1823" s="1" customFormat="1" x14ac:dyDescent="0.2"/>
    <row r="1824" s="1" customFormat="1" x14ac:dyDescent="0.2"/>
    <row r="1825" s="1" customFormat="1" x14ac:dyDescent="0.2"/>
    <row r="1826" s="1" customFormat="1" x14ac:dyDescent="0.2"/>
    <row r="1827" s="1" customFormat="1" x14ac:dyDescent="0.2"/>
    <row r="1828" s="1" customFormat="1" x14ac:dyDescent="0.2"/>
    <row r="1829" s="1" customFormat="1" x14ac:dyDescent="0.2"/>
    <row r="1830" s="1" customFormat="1" x14ac:dyDescent="0.2"/>
    <row r="1831" s="1" customFormat="1" x14ac:dyDescent="0.2"/>
    <row r="1832" s="1" customFormat="1" x14ac:dyDescent="0.2"/>
    <row r="1833" s="1" customFormat="1" x14ac:dyDescent="0.2"/>
    <row r="1834" s="1" customFormat="1" x14ac:dyDescent="0.2"/>
    <row r="1835" s="1" customFormat="1" x14ac:dyDescent="0.2"/>
    <row r="1836" s="1" customFormat="1" x14ac:dyDescent="0.2"/>
    <row r="1837" s="1" customFormat="1" x14ac:dyDescent="0.2"/>
    <row r="1838" s="1" customFormat="1" x14ac:dyDescent="0.2"/>
    <row r="1839" s="1" customFormat="1" x14ac:dyDescent="0.2"/>
    <row r="1840" s="1" customFormat="1" x14ac:dyDescent="0.2"/>
    <row r="1841" s="1" customFormat="1" x14ac:dyDescent="0.2"/>
    <row r="1842" s="1" customFormat="1" x14ac:dyDescent="0.2"/>
    <row r="1843" s="1" customFormat="1" x14ac:dyDescent="0.2"/>
    <row r="1844" s="1" customFormat="1" x14ac:dyDescent="0.2"/>
    <row r="1845" s="1" customFormat="1" x14ac:dyDescent="0.2"/>
    <row r="1846" s="1" customFormat="1" x14ac:dyDescent="0.2"/>
    <row r="1847" s="1" customFormat="1" x14ac:dyDescent="0.2"/>
    <row r="1848" s="1" customFormat="1" x14ac:dyDescent="0.2"/>
    <row r="1849" s="1" customFormat="1" x14ac:dyDescent="0.2"/>
    <row r="1850" s="1" customFormat="1" x14ac:dyDescent="0.2"/>
    <row r="1851" s="1" customFormat="1" x14ac:dyDescent="0.2"/>
    <row r="1852" s="1" customFormat="1" x14ac:dyDescent="0.2"/>
    <row r="1853" s="1" customFormat="1" x14ac:dyDescent="0.2"/>
    <row r="1854" s="1" customFormat="1" x14ac:dyDescent="0.2"/>
    <row r="1855" s="1" customFormat="1" x14ac:dyDescent="0.2"/>
    <row r="1856" s="1" customFormat="1" x14ac:dyDescent="0.2"/>
    <row r="1857" s="1" customFormat="1" x14ac:dyDescent="0.2"/>
    <row r="1858" s="1" customFormat="1" x14ac:dyDescent="0.2"/>
    <row r="1859" s="1" customFormat="1" x14ac:dyDescent="0.2"/>
    <row r="1860" s="1" customFormat="1" x14ac:dyDescent="0.2"/>
    <row r="1861" s="1" customFormat="1" x14ac:dyDescent="0.2"/>
    <row r="1862" s="1" customFormat="1" x14ac:dyDescent="0.2"/>
    <row r="1863" s="1" customFormat="1" x14ac:dyDescent="0.2"/>
    <row r="1864" s="1" customFormat="1" x14ac:dyDescent="0.2"/>
    <row r="1865" s="1" customFormat="1" x14ac:dyDescent="0.2"/>
    <row r="1866" s="1" customFormat="1" x14ac:dyDescent="0.2"/>
    <row r="1867" s="1" customFormat="1" x14ac:dyDescent="0.2"/>
    <row r="1868" s="1" customFormat="1" x14ac:dyDescent="0.2"/>
    <row r="1869" s="1" customFormat="1" x14ac:dyDescent="0.2"/>
    <row r="1870" s="1" customFormat="1" x14ac:dyDescent="0.2"/>
    <row r="1871" s="1" customFormat="1" x14ac:dyDescent="0.2"/>
    <row r="1872" s="1" customFormat="1" x14ac:dyDescent="0.2"/>
    <row r="1873" s="1" customFormat="1" x14ac:dyDescent="0.2"/>
    <row r="1874" s="164" customFormat="1" x14ac:dyDescent="0.2"/>
    <row r="1875" s="1" customFormat="1" x14ac:dyDescent="0.2"/>
    <row r="1876" s="1" customFormat="1" x14ac:dyDescent="0.2"/>
    <row r="1877" s="1" customFormat="1" x14ac:dyDescent="0.2"/>
    <row r="1878" s="1" customFormat="1" x14ac:dyDescent="0.2"/>
    <row r="1879" s="1" customFormat="1" x14ac:dyDescent="0.2"/>
    <row r="1880" s="1" customFormat="1" x14ac:dyDescent="0.2"/>
    <row r="1881" s="1" customFormat="1" x14ac:dyDescent="0.2"/>
    <row r="1882" s="1" customFormat="1" x14ac:dyDescent="0.2"/>
    <row r="1883" s="1" customFormat="1" x14ac:dyDescent="0.2"/>
    <row r="1884" s="1" customFormat="1" x14ac:dyDescent="0.2"/>
    <row r="1885" s="1" customFormat="1" x14ac:dyDescent="0.2"/>
    <row r="1886" s="1" customFormat="1" x14ac:dyDescent="0.2"/>
    <row r="1887" s="1" customFormat="1" x14ac:dyDescent="0.2"/>
    <row r="1888" s="1" customFormat="1" x14ac:dyDescent="0.2"/>
    <row r="1889" s="1" customFormat="1" x14ac:dyDescent="0.2"/>
    <row r="1890" s="1" customFormat="1" x14ac:dyDescent="0.2"/>
    <row r="1891" s="1" customFormat="1" x14ac:dyDescent="0.2"/>
    <row r="1892" s="1" customFormat="1" x14ac:dyDescent="0.2"/>
    <row r="1893" s="1" customFormat="1" x14ac:dyDescent="0.2"/>
    <row r="1894" s="1" customFormat="1" x14ac:dyDescent="0.2"/>
    <row r="1895" s="1" customFormat="1" x14ac:dyDescent="0.2"/>
    <row r="1896" s="1" customFormat="1" x14ac:dyDescent="0.2"/>
    <row r="1897" s="1" customFormat="1" x14ac:dyDescent="0.2"/>
    <row r="1898" s="1" customFormat="1" x14ac:dyDescent="0.2"/>
    <row r="1899" s="1" customFormat="1" x14ac:dyDescent="0.2"/>
    <row r="1900" s="1" customFormat="1" x14ac:dyDescent="0.2"/>
    <row r="1901" s="1" customFormat="1" x14ac:dyDescent="0.2"/>
    <row r="1902" s="1" customFormat="1" x14ac:dyDescent="0.2"/>
    <row r="1903" s="1" customFormat="1" x14ac:dyDescent="0.2"/>
    <row r="1904" s="1" customFormat="1" x14ac:dyDescent="0.2"/>
    <row r="1905" s="1" customFormat="1" x14ac:dyDescent="0.2"/>
    <row r="1906" s="1" customFormat="1" x14ac:dyDescent="0.2"/>
    <row r="1907" s="1" customFormat="1" x14ac:dyDescent="0.2"/>
    <row r="1908" s="1" customFormat="1" x14ac:dyDescent="0.2"/>
    <row r="1909" s="1" customFormat="1" x14ac:dyDescent="0.2"/>
    <row r="1910" s="1" customFormat="1" x14ac:dyDescent="0.2"/>
    <row r="1911" s="1" customFormat="1" x14ac:dyDescent="0.2"/>
    <row r="1912" s="1" customFormat="1" x14ac:dyDescent="0.2"/>
    <row r="1913" s="1" customFormat="1" x14ac:dyDescent="0.2"/>
    <row r="1914" s="1" customFormat="1" x14ac:dyDescent="0.2"/>
    <row r="1915" s="1" customFormat="1" x14ac:dyDescent="0.2"/>
    <row r="1916" s="1" customFormat="1" x14ac:dyDescent="0.2"/>
    <row r="1917" s="1" customFormat="1" x14ac:dyDescent="0.2"/>
    <row r="1918" s="1" customFormat="1" x14ac:dyDescent="0.2"/>
    <row r="1919" s="1" customFormat="1" x14ac:dyDescent="0.2"/>
    <row r="1920" s="1" customFormat="1" ht="13.5" customHeight="1" x14ac:dyDescent="0.2"/>
    <row r="1921" s="1" customFormat="1" ht="13.5" customHeight="1" x14ac:dyDescent="0.2"/>
    <row r="1922" s="1" customFormat="1" x14ac:dyDescent="0.2"/>
    <row r="1923" s="1" customFormat="1" x14ac:dyDescent="0.2"/>
    <row r="1924" s="1" customFormat="1" x14ac:dyDescent="0.2"/>
    <row r="1925" s="1" customFormat="1" x14ac:dyDescent="0.2"/>
    <row r="1926" s="1" customFormat="1" x14ac:dyDescent="0.2"/>
    <row r="1927" s="1" customFormat="1" x14ac:dyDescent="0.2"/>
    <row r="1928" s="1" customFormat="1" x14ac:dyDescent="0.2"/>
    <row r="1929" s="1" customFormat="1" x14ac:dyDescent="0.2"/>
    <row r="1930" s="1" customFormat="1" x14ac:dyDescent="0.2"/>
    <row r="1931" s="1" customFormat="1" x14ac:dyDescent="0.2"/>
    <row r="1932" s="1" customFormat="1" x14ac:dyDescent="0.2"/>
    <row r="1933" s="1" customFormat="1" x14ac:dyDescent="0.2"/>
    <row r="1934" s="1" customFormat="1" x14ac:dyDescent="0.2"/>
    <row r="1935" s="1" customFormat="1" x14ac:dyDescent="0.2"/>
    <row r="1936" s="1" customFormat="1" x14ac:dyDescent="0.2"/>
    <row r="1937" s="1" customFormat="1" x14ac:dyDescent="0.2"/>
    <row r="1938" s="1" customFormat="1" x14ac:dyDescent="0.2"/>
    <row r="1939" s="1" customFormat="1" x14ac:dyDescent="0.2"/>
    <row r="1940" s="1" customFormat="1" x14ac:dyDescent="0.2"/>
    <row r="1941" s="1" customFormat="1" x14ac:dyDescent="0.2"/>
    <row r="1942" s="1" customFormat="1" x14ac:dyDescent="0.2"/>
    <row r="1943" s="1" customFormat="1" x14ac:dyDescent="0.2"/>
    <row r="1944" s="1" customFormat="1" x14ac:dyDescent="0.2"/>
    <row r="1945" s="1" customFormat="1" x14ac:dyDescent="0.2"/>
    <row r="1946" s="1" customFormat="1" x14ac:dyDescent="0.2"/>
    <row r="1947" s="1" customFormat="1" x14ac:dyDescent="0.2"/>
    <row r="1948" s="1" customFormat="1" x14ac:dyDescent="0.2"/>
    <row r="1949" s="1" customFormat="1" x14ac:dyDescent="0.2"/>
    <row r="1950" s="1" customFormat="1" x14ac:dyDescent="0.2"/>
    <row r="1951" s="1" customFormat="1" x14ac:dyDescent="0.2"/>
    <row r="1952" s="1" customFormat="1" x14ac:dyDescent="0.2"/>
    <row r="1953" s="1" customFormat="1" x14ac:dyDescent="0.2"/>
    <row r="1954" s="1" customFormat="1" x14ac:dyDescent="0.2"/>
    <row r="1955" s="1" customFormat="1" x14ac:dyDescent="0.2"/>
    <row r="1956" s="1" customFormat="1" x14ac:dyDescent="0.2"/>
    <row r="1957" s="1" customFormat="1" x14ac:dyDescent="0.2"/>
    <row r="1958" s="1" customFormat="1" x14ac:dyDescent="0.2"/>
    <row r="1959" s="1" customFormat="1" x14ac:dyDescent="0.2"/>
    <row r="1960" s="1" customFormat="1" x14ac:dyDescent="0.2"/>
    <row r="1961" s="1" customFormat="1" x14ac:dyDescent="0.2"/>
    <row r="1962" s="1" customFormat="1" x14ac:dyDescent="0.2"/>
    <row r="1963" s="1" customFormat="1" x14ac:dyDescent="0.2"/>
    <row r="1964" s="1" customFormat="1" x14ac:dyDescent="0.2"/>
    <row r="1965" s="1" customFormat="1" x14ac:dyDescent="0.2"/>
    <row r="1966" s="1" customFormat="1" x14ac:dyDescent="0.2"/>
    <row r="1967" s="1" customFormat="1" x14ac:dyDescent="0.2"/>
    <row r="1968" s="1" customFormat="1" x14ac:dyDescent="0.2"/>
    <row r="1969" s="1" customFormat="1" x14ac:dyDescent="0.2"/>
    <row r="1970" s="1" customFormat="1" x14ac:dyDescent="0.2"/>
    <row r="1971" s="1" customFormat="1" x14ac:dyDescent="0.2"/>
    <row r="1972" s="1" customFormat="1" x14ac:dyDescent="0.2"/>
    <row r="1973" s="1" customFormat="1" x14ac:dyDescent="0.2"/>
    <row r="1974" s="1" customFormat="1" x14ac:dyDescent="0.2"/>
    <row r="1975" s="1" customFormat="1" x14ac:dyDescent="0.2"/>
    <row r="1976" s="1" customFormat="1" x14ac:dyDescent="0.2"/>
    <row r="1977" s="1" customFormat="1" x14ac:dyDescent="0.2"/>
    <row r="1978" s="1" customFormat="1" x14ac:dyDescent="0.2"/>
    <row r="1979" s="1" customFormat="1" ht="13.5" customHeight="1" x14ac:dyDescent="0.2"/>
    <row r="1980" s="1" customFormat="1" ht="12.75" customHeight="1" x14ac:dyDescent="0.2"/>
    <row r="1981" s="1" customFormat="1" x14ac:dyDescent="0.2"/>
    <row r="1982" s="1" customFormat="1" x14ac:dyDescent="0.2"/>
    <row r="1983" s="1" customFormat="1" x14ac:dyDescent="0.2"/>
    <row r="1984" s="1" customFormat="1" x14ac:dyDescent="0.2"/>
    <row r="1985" s="1" customFormat="1" x14ac:dyDescent="0.2"/>
    <row r="1986" s="1" customFormat="1" x14ac:dyDescent="0.2"/>
    <row r="1987" s="1" customFormat="1" x14ac:dyDescent="0.2"/>
    <row r="1988" s="1" customFormat="1" x14ac:dyDescent="0.2"/>
    <row r="1989" s="1" customFormat="1" x14ac:dyDescent="0.2"/>
    <row r="1990" s="1" customFormat="1" x14ac:dyDescent="0.2"/>
    <row r="1991" s="1" customFormat="1" x14ac:dyDescent="0.2"/>
    <row r="1992" s="1" customFormat="1" x14ac:dyDescent="0.2"/>
    <row r="1993" s="1" customFormat="1" x14ac:dyDescent="0.2"/>
    <row r="1994" s="1" customFormat="1" x14ac:dyDescent="0.2"/>
    <row r="1995" s="1" customFormat="1" ht="27" customHeight="1" x14ac:dyDescent="0.2"/>
    <row r="1996" s="1" customFormat="1" x14ac:dyDescent="0.2"/>
    <row r="1997" s="1" customFormat="1" x14ac:dyDescent="0.2"/>
    <row r="1998" s="1" customFormat="1" x14ac:dyDescent="0.2"/>
    <row r="1999" s="1" customFormat="1" x14ac:dyDescent="0.2"/>
    <row r="2000" s="1" customFormat="1" x14ac:dyDescent="0.2"/>
    <row r="2001" s="1" customFormat="1" x14ac:dyDescent="0.2"/>
    <row r="2002" s="1" customFormat="1" x14ac:dyDescent="0.2"/>
    <row r="2003" s="1" customFormat="1" x14ac:dyDescent="0.2"/>
    <row r="2004" s="1" customFormat="1" x14ac:dyDescent="0.2"/>
    <row r="2005" s="1" customFormat="1" x14ac:dyDescent="0.2"/>
    <row r="2006" s="1" customFormat="1" x14ac:dyDescent="0.2"/>
    <row r="2007" s="1" customFormat="1" x14ac:dyDescent="0.2"/>
    <row r="2008" s="1" customFormat="1" x14ac:dyDescent="0.2"/>
    <row r="2009" s="1" customFormat="1" x14ac:dyDescent="0.2"/>
    <row r="2010" s="1" customFormat="1" x14ac:dyDescent="0.2"/>
    <row r="2011" s="1" customFormat="1" x14ac:dyDescent="0.2"/>
    <row r="2012" s="1" customFormat="1" x14ac:dyDescent="0.2"/>
    <row r="2013" s="1" customFormat="1" x14ac:dyDescent="0.2"/>
    <row r="2014" s="1" customFormat="1" x14ac:dyDescent="0.2"/>
    <row r="2015" s="1" customFormat="1" x14ac:dyDescent="0.2"/>
    <row r="2016" s="1" customFormat="1" x14ac:dyDescent="0.2"/>
    <row r="2017" s="1" customFormat="1" x14ac:dyDescent="0.2"/>
    <row r="2018" s="1" customFormat="1" x14ac:dyDescent="0.2"/>
    <row r="2019" s="1" customFormat="1" x14ac:dyDescent="0.2"/>
    <row r="2020" s="1" customFormat="1" x14ac:dyDescent="0.2"/>
    <row r="2021" s="1" customFormat="1" x14ac:dyDescent="0.2"/>
    <row r="2022" s="1" customFormat="1" x14ac:dyDescent="0.2"/>
    <row r="2023" s="1" customFormat="1" x14ac:dyDescent="0.2"/>
    <row r="2024" s="1" customFormat="1" x14ac:dyDescent="0.2"/>
    <row r="2025" s="1" customFormat="1" x14ac:dyDescent="0.2"/>
    <row r="2026" s="1" customFormat="1" x14ac:dyDescent="0.2"/>
    <row r="2027" s="1" customFormat="1" x14ac:dyDescent="0.2"/>
    <row r="2028" s="1" customFormat="1" x14ac:dyDescent="0.2"/>
    <row r="2029" s="1" customFormat="1" x14ac:dyDescent="0.2"/>
    <row r="2030" s="1" customFormat="1" x14ac:dyDescent="0.2"/>
    <row r="2031" s="1" customFormat="1" x14ac:dyDescent="0.2"/>
    <row r="2032" s="1" customFormat="1" x14ac:dyDescent="0.2"/>
    <row r="2033" s="1" customFormat="1" x14ac:dyDescent="0.2"/>
    <row r="2034" s="1" customFormat="1" x14ac:dyDescent="0.2"/>
    <row r="2035" s="1" customFormat="1" x14ac:dyDescent="0.2"/>
    <row r="2036" s="1" customFormat="1" x14ac:dyDescent="0.2"/>
    <row r="2037" s="1" customFormat="1" x14ac:dyDescent="0.2"/>
    <row r="2038" s="1" customFormat="1" x14ac:dyDescent="0.2"/>
    <row r="2039" s="1" customFormat="1" x14ac:dyDescent="0.2"/>
    <row r="2040" s="1" customFormat="1" x14ac:dyDescent="0.2"/>
    <row r="2041" s="1" customFormat="1" x14ac:dyDescent="0.2"/>
    <row r="2042" s="1" customFormat="1" x14ac:dyDescent="0.2"/>
    <row r="2043" s="1" customFormat="1" x14ac:dyDescent="0.2"/>
    <row r="2044" s="1" customFormat="1" x14ac:dyDescent="0.2"/>
    <row r="2045" s="1" customFormat="1" x14ac:dyDescent="0.2"/>
    <row r="2046" s="1" customFormat="1" x14ac:dyDescent="0.2"/>
    <row r="2047" s="1" customFormat="1" x14ac:dyDescent="0.2"/>
    <row r="2048" s="1" customFormat="1" x14ac:dyDescent="0.2"/>
    <row r="2049" s="1" customFormat="1" x14ac:dyDescent="0.2"/>
    <row r="2050" s="1" customFormat="1" x14ac:dyDescent="0.2"/>
    <row r="2051" s="1" customFormat="1" x14ac:dyDescent="0.2"/>
    <row r="2052" s="1" customFormat="1" x14ac:dyDescent="0.2"/>
    <row r="2053" s="1" customFormat="1" x14ac:dyDescent="0.2"/>
    <row r="2054" s="1" customFormat="1" x14ac:dyDescent="0.2"/>
    <row r="2055" s="1" customFormat="1" x14ac:dyDescent="0.2"/>
    <row r="2056" s="1" customFormat="1" x14ac:dyDescent="0.2"/>
    <row r="2057" s="1" customFormat="1" x14ac:dyDescent="0.2"/>
    <row r="2058" s="1" customFormat="1" x14ac:dyDescent="0.2"/>
    <row r="2059" s="1" customFormat="1" x14ac:dyDescent="0.2"/>
    <row r="2060" s="1" customFormat="1" x14ac:dyDescent="0.2"/>
    <row r="2061" s="1" customFormat="1" x14ac:dyDescent="0.2"/>
    <row r="2062" s="1" customFormat="1" x14ac:dyDescent="0.2"/>
    <row r="2063" s="1" customFormat="1" x14ac:dyDescent="0.2"/>
    <row r="2064" s="1" customFormat="1" x14ac:dyDescent="0.2"/>
    <row r="2065" s="1" customFormat="1" x14ac:dyDescent="0.2"/>
    <row r="2066" s="1" customFormat="1" x14ac:dyDescent="0.2"/>
    <row r="2067" s="1" customFormat="1" x14ac:dyDescent="0.2"/>
    <row r="2068" s="1" customFormat="1" x14ac:dyDescent="0.2"/>
    <row r="2069" s="1" customFormat="1" x14ac:dyDescent="0.2"/>
    <row r="2070" s="1" customFormat="1" x14ac:dyDescent="0.2"/>
    <row r="2071" s="1" customFormat="1" x14ac:dyDescent="0.2"/>
    <row r="2072" s="1" customFormat="1" x14ac:dyDescent="0.2"/>
    <row r="2073" s="1" customFormat="1" x14ac:dyDescent="0.2"/>
    <row r="2074" s="1" customFormat="1" x14ac:dyDescent="0.2"/>
    <row r="2075" s="1" customFormat="1" x14ac:dyDescent="0.2"/>
    <row r="2076" s="1" customFormat="1" x14ac:dyDescent="0.2"/>
    <row r="2077" s="1" customFormat="1" x14ac:dyDescent="0.2"/>
    <row r="2078" s="1" customFormat="1" x14ac:dyDescent="0.2"/>
    <row r="2079" s="1" customFormat="1" x14ac:dyDescent="0.2"/>
    <row r="2080" s="1" customFormat="1" x14ac:dyDescent="0.2"/>
    <row r="2081" s="1" customFormat="1" x14ac:dyDescent="0.2"/>
    <row r="2082" s="1" customFormat="1" x14ac:dyDescent="0.2"/>
    <row r="2083" s="1" customFormat="1" x14ac:dyDescent="0.2"/>
    <row r="2084" s="1" customFormat="1" x14ac:dyDescent="0.2"/>
    <row r="2085" s="1" customFormat="1" x14ac:dyDescent="0.2"/>
    <row r="2086" s="1" customFormat="1" x14ac:dyDescent="0.2"/>
    <row r="2087" s="1" customFormat="1" x14ac:dyDescent="0.2"/>
    <row r="2088" s="1" customFormat="1" x14ac:dyDescent="0.2"/>
    <row r="2089" s="1" customFormat="1" x14ac:dyDescent="0.2"/>
    <row r="2090" s="1" customFormat="1" x14ac:dyDescent="0.2"/>
    <row r="2091" s="1" customFormat="1" x14ac:dyDescent="0.2"/>
    <row r="2092" s="1" customFormat="1" x14ac:dyDescent="0.2"/>
    <row r="2093" s="1" customFormat="1" x14ac:dyDescent="0.2"/>
    <row r="2094" s="1" customFormat="1" ht="25.5" customHeight="1" x14ac:dyDescent="0.2"/>
    <row r="2095" s="1" customFormat="1" x14ac:dyDescent="0.2"/>
    <row r="2096" s="1" customFormat="1" x14ac:dyDescent="0.2"/>
    <row r="2097" s="1" customFormat="1" x14ac:dyDescent="0.2"/>
    <row r="2098" s="1" customFormat="1" x14ac:dyDescent="0.2"/>
    <row r="2099" s="79" customFormat="1" x14ac:dyDescent="0.2"/>
    <row r="2100" s="1" customFormat="1" x14ac:dyDescent="0.2"/>
    <row r="2101" s="1" customFormat="1" x14ac:dyDescent="0.2"/>
    <row r="2102" s="1" customFormat="1" x14ac:dyDescent="0.2"/>
    <row r="2103" s="1" customFormat="1" x14ac:dyDescent="0.2"/>
    <row r="2104" s="1" customFormat="1" x14ac:dyDescent="0.2"/>
    <row r="2105" s="1" customFormat="1" x14ac:dyDescent="0.2"/>
    <row r="2106" s="1" customFormat="1" x14ac:dyDescent="0.2"/>
    <row r="2107" s="1" customFormat="1" x14ac:dyDescent="0.2"/>
    <row r="2108" s="1" customFormat="1" x14ac:dyDescent="0.2"/>
    <row r="2109" s="1" customFormat="1" x14ac:dyDescent="0.2"/>
    <row r="2110" s="1" customFormat="1" x14ac:dyDescent="0.2"/>
    <row r="2111" s="1" customFormat="1" x14ac:dyDescent="0.2"/>
    <row r="2112" s="1" customFormat="1" ht="13.5" customHeight="1" x14ac:dyDescent="0.2"/>
    <row r="2113" s="1" customFormat="1" ht="12.75" customHeight="1" x14ac:dyDescent="0.2"/>
    <row r="2114" s="1" customFormat="1" x14ac:dyDescent="0.2"/>
    <row r="2115" s="1" customFormat="1" x14ac:dyDescent="0.2"/>
    <row r="2116" s="1" customFormat="1" x14ac:dyDescent="0.2"/>
    <row r="2117" s="1" customFormat="1" x14ac:dyDescent="0.2"/>
    <row r="2118" s="1" customFormat="1" x14ac:dyDescent="0.2"/>
    <row r="2119" s="1" customFormat="1" x14ac:dyDescent="0.2"/>
    <row r="2120" s="1" customFormat="1" x14ac:dyDescent="0.2"/>
    <row r="2121" s="1" customFormat="1" x14ac:dyDescent="0.2"/>
    <row r="2122" s="1" customFormat="1" x14ac:dyDescent="0.2"/>
    <row r="2123" s="1" customFormat="1" x14ac:dyDescent="0.2"/>
    <row r="2124" s="1" customFormat="1" x14ac:dyDescent="0.2"/>
    <row r="2125" s="1" customFormat="1" x14ac:dyDescent="0.2"/>
    <row r="2126" s="1" customFormat="1" x14ac:dyDescent="0.2"/>
    <row r="2127" s="1" customFormat="1" x14ac:dyDescent="0.2"/>
    <row r="2128" s="1" customFormat="1" x14ac:dyDescent="0.2"/>
    <row r="2129" s="1" customFormat="1" x14ac:dyDescent="0.2"/>
    <row r="2130" s="1" customFormat="1" x14ac:dyDescent="0.2"/>
    <row r="2131" s="1" customFormat="1" x14ac:dyDescent="0.2"/>
    <row r="2132" s="1" customFormat="1" x14ac:dyDescent="0.2"/>
    <row r="2133" s="1" customFormat="1" x14ac:dyDescent="0.2"/>
    <row r="2134" s="1" customFormat="1" x14ac:dyDescent="0.2"/>
    <row r="2135" s="1" customFormat="1" x14ac:dyDescent="0.2"/>
    <row r="2136" s="1" customFormat="1" x14ac:dyDescent="0.2"/>
    <row r="2137" s="1" customFormat="1" x14ac:dyDescent="0.2"/>
    <row r="2138" s="1" customFormat="1" x14ac:dyDescent="0.2"/>
    <row r="2139" s="1" customFormat="1" x14ac:dyDescent="0.2"/>
    <row r="2140" s="1" customFormat="1" x14ac:dyDescent="0.2"/>
    <row r="2141" s="1" customFormat="1" x14ac:dyDescent="0.2"/>
    <row r="2142" s="1" customFormat="1" x14ac:dyDescent="0.2"/>
    <row r="2143" s="1" customFormat="1" x14ac:dyDescent="0.2"/>
    <row r="2144" s="1" customFormat="1" x14ac:dyDescent="0.2"/>
    <row r="2145" s="1" customFormat="1" x14ac:dyDescent="0.2"/>
    <row r="2146" s="1" customFormat="1" x14ac:dyDescent="0.2"/>
    <row r="2147" s="1" customFormat="1" x14ac:dyDescent="0.2"/>
    <row r="2148" s="1" customFormat="1" x14ac:dyDescent="0.2"/>
    <row r="2149" s="1" customFormat="1" x14ac:dyDescent="0.2"/>
    <row r="2150" s="1" customFormat="1" x14ac:dyDescent="0.2"/>
    <row r="2151" s="1" customFormat="1" x14ac:dyDescent="0.2"/>
    <row r="2152" s="1" customFormat="1" x14ac:dyDescent="0.2"/>
    <row r="2153" s="1" customFormat="1" x14ac:dyDescent="0.2"/>
    <row r="2154" s="1" customFormat="1" x14ac:dyDescent="0.2"/>
    <row r="2155" s="1" customFormat="1" x14ac:dyDescent="0.2"/>
    <row r="2156" s="1" customFormat="1" x14ac:dyDescent="0.2"/>
    <row r="2157" s="1" customFormat="1" x14ac:dyDescent="0.2"/>
    <row r="2158" s="1" customFormat="1" x14ac:dyDescent="0.2"/>
    <row r="2159" s="1" customFormat="1" x14ac:dyDescent="0.2"/>
    <row r="2160" s="1" customFormat="1" x14ac:dyDescent="0.2"/>
    <row r="2161" s="1" customFormat="1" x14ac:dyDescent="0.2"/>
    <row r="2162" s="1" customFormat="1" x14ac:dyDescent="0.2"/>
    <row r="2163" s="285" customFormat="1" ht="12" x14ac:dyDescent="0.2"/>
    <row r="2164" s="285" customFormat="1" ht="12" x14ac:dyDescent="0.2"/>
    <row r="2165" s="285" customFormat="1" ht="12" x14ac:dyDescent="0.2"/>
    <row r="2166" s="285" customFormat="1" ht="12" x14ac:dyDescent="0.2"/>
    <row r="2167" s="285" customFormat="1" ht="12" x14ac:dyDescent="0.2"/>
    <row r="2168" s="285" customFormat="1" ht="12" x14ac:dyDescent="0.2"/>
    <row r="2169" s="1" customFormat="1" x14ac:dyDescent="0.2"/>
    <row r="2170" s="1" customFormat="1" x14ac:dyDescent="0.2"/>
    <row r="2171" s="1" customFormat="1" x14ac:dyDescent="0.2"/>
    <row r="2172" s="1" customFormat="1" x14ac:dyDescent="0.2"/>
    <row r="2173" s="1" customFormat="1" x14ac:dyDescent="0.2"/>
    <row r="2174" s="1" customFormat="1" x14ac:dyDescent="0.2"/>
    <row r="2175" s="1" customFormat="1" x14ac:dyDescent="0.2"/>
    <row r="2176" s="1" customFormat="1" x14ac:dyDescent="0.2"/>
    <row r="2177" s="1" customFormat="1" x14ac:dyDescent="0.2"/>
    <row r="2178" s="1" customFormat="1" x14ac:dyDescent="0.2"/>
    <row r="2179" s="1" customFormat="1" x14ac:dyDescent="0.2"/>
    <row r="2180" s="1" customFormat="1" x14ac:dyDescent="0.2"/>
    <row r="2181" s="1" customFormat="1" x14ac:dyDescent="0.2"/>
    <row r="2182" s="1" customFormat="1" x14ac:dyDescent="0.2"/>
    <row r="2183" s="1" customFormat="1" x14ac:dyDescent="0.2"/>
    <row r="2184" s="1" customFormat="1" x14ac:dyDescent="0.2"/>
    <row r="2185" s="1" customFormat="1" x14ac:dyDescent="0.2"/>
    <row r="2186" s="1" customFormat="1" x14ac:dyDescent="0.2"/>
    <row r="2187" s="1" customFormat="1" x14ac:dyDescent="0.2"/>
    <row r="2188" s="1" customFormat="1" x14ac:dyDescent="0.2"/>
    <row r="2189" s="1" customFormat="1" x14ac:dyDescent="0.2"/>
    <row r="2190" s="1" customFormat="1" x14ac:dyDescent="0.2"/>
    <row r="2191" s="1" customFormat="1" x14ac:dyDescent="0.2"/>
    <row r="2192" s="1" customFormat="1" x14ac:dyDescent="0.2"/>
    <row r="2193" s="1" customFormat="1" x14ac:dyDescent="0.2"/>
    <row r="2194" s="1" customFormat="1" x14ac:dyDescent="0.2"/>
    <row r="2195" s="1" customFormat="1" x14ac:dyDescent="0.2"/>
    <row r="2196" s="1" customFormat="1" x14ac:dyDescent="0.2"/>
    <row r="2197" s="1" customFormat="1" x14ac:dyDescent="0.2"/>
    <row r="2198" s="1" customFormat="1" x14ac:dyDescent="0.2"/>
    <row r="2199" s="1" customFormat="1" x14ac:dyDescent="0.2"/>
    <row r="2200" s="1" customFormat="1" x14ac:dyDescent="0.2"/>
    <row r="2201" s="1" customFormat="1" x14ac:dyDescent="0.2"/>
    <row r="2202" s="1" customFormat="1" x14ac:dyDescent="0.2"/>
    <row r="2203" s="1" customFormat="1" x14ac:dyDescent="0.2"/>
    <row r="2204" s="1" customFormat="1" x14ac:dyDescent="0.2"/>
    <row r="2205" s="1" customFormat="1" x14ac:dyDescent="0.2"/>
    <row r="2206" s="1" customFormat="1" x14ac:dyDescent="0.2"/>
    <row r="2207" s="1" customFormat="1" x14ac:dyDescent="0.2"/>
    <row r="2208" s="1" customFormat="1" ht="12.75" customHeight="1" x14ac:dyDescent="0.2"/>
    <row r="2209" s="1" customFormat="1" x14ac:dyDescent="0.2"/>
    <row r="2210" s="1" customFormat="1" x14ac:dyDescent="0.2"/>
    <row r="2211" s="1" customFormat="1" x14ac:dyDescent="0.2"/>
    <row r="2212" s="1" customFormat="1" x14ac:dyDescent="0.2"/>
    <row r="2213" s="1" customFormat="1" x14ac:dyDescent="0.2"/>
    <row r="2214" s="1" customFormat="1" x14ac:dyDescent="0.2"/>
    <row r="2215" s="1" customFormat="1" x14ac:dyDescent="0.2"/>
    <row r="2216" s="1" customFormat="1" x14ac:dyDescent="0.2"/>
    <row r="2217" s="1" customFormat="1" x14ac:dyDescent="0.2"/>
    <row r="2218" s="1" customFormat="1" x14ac:dyDescent="0.2"/>
    <row r="2219" s="1" customFormat="1" x14ac:dyDescent="0.2"/>
    <row r="2220" s="1" customFormat="1" x14ac:dyDescent="0.2"/>
    <row r="2221" s="1" customFormat="1" x14ac:dyDescent="0.2"/>
    <row r="2222" s="1" customFormat="1" x14ac:dyDescent="0.2"/>
    <row r="2223" s="164" customFormat="1" x14ac:dyDescent="0.2"/>
    <row r="2224" s="1" customFormat="1" x14ac:dyDescent="0.2"/>
    <row r="2225" s="1" customFormat="1" x14ac:dyDescent="0.2"/>
    <row r="2226" s="1" customFormat="1" x14ac:dyDescent="0.2"/>
    <row r="2227" s="1" customFormat="1" x14ac:dyDescent="0.2"/>
    <row r="2228" s="1" customFormat="1" x14ac:dyDescent="0.2"/>
    <row r="2229" s="1" customFormat="1" x14ac:dyDescent="0.2"/>
    <row r="2230" s="1" customFormat="1" x14ac:dyDescent="0.2"/>
    <row r="2231" s="1" customFormat="1" x14ac:dyDescent="0.2"/>
    <row r="2232" s="1" customFormat="1" x14ac:dyDescent="0.2"/>
    <row r="2233" s="1" customFormat="1" x14ac:dyDescent="0.2"/>
    <row r="2234" s="1" customFormat="1" x14ac:dyDescent="0.2"/>
    <row r="2235" s="1" customFormat="1" x14ac:dyDescent="0.2"/>
    <row r="2236" s="1" customFormat="1" x14ac:dyDescent="0.2"/>
    <row r="2237" s="1" customFormat="1" x14ac:dyDescent="0.2"/>
    <row r="2238" s="1" customFormat="1" x14ac:dyDescent="0.2"/>
    <row r="2239" s="1" customFormat="1" x14ac:dyDescent="0.2"/>
    <row r="2240" s="1" customFormat="1" x14ac:dyDescent="0.2"/>
    <row r="2241" s="164" customFormat="1" x14ac:dyDescent="0.2"/>
    <row r="2242" s="1" customFormat="1" x14ac:dyDescent="0.2"/>
    <row r="2243" s="1" customFormat="1" x14ac:dyDescent="0.2"/>
    <row r="2244" s="1" customFormat="1" x14ac:dyDescent="0.2"/>
    <row r="2245" s="1" customFormat="1" x14ac:dyDescent="0.2"/>
    <row r="2246" s="1" customFormat="1" x14ac:dyDescent="0.2"/>
    <row r="2247" s="1" customFormat="1" x14ac:dyDescent="0.2"/>
    <row r="2248" s="1" customFormat="1" ht="13.5" customHeight="1" x14ac:dyDescent="0.2"/>
    <row r="2249" s="1" customFormat="1" ht="19.5" customHeight="1" x14ac:dyDescent="0.2"/>
    <row r="2250" s="1" customFormat="1" x14ac:dyDescent="0.2"/>
    <row r="2251" s="1" customFormat="1" ht="17.25" customHeight="1" x14ac:dyDescent="0.2"/>
    <row r="2252" s="1" customFormat="1" x14ac:dyDescent="0.2"/>
    <row r="2253" s="1" customFormat="1" x14ac:dyDescent="0.2"/>
    <row r="2254" s="1" customFormat="1" x14ac:dyDescent="0.2"/>
    <row r="2255" s="1" customFormat="1" x14ac:dyDescent="0.2"/>
    <row r="2256" s="1" customFormat="1" x14ac:dyDescent="0.2"/>
    <row r="2257" s="1" customFormat="1" x14ac:dyDescent="0.2"/>
    <row r="2258" s="1" customFormat="1" x14ac:dyDescent="0.2"/>
    <row r="2259" s="1" customFormat="1" x14ac:dyDescent="0.2"/>
    <row r="2260" s="1" customFormat="1" x14ac:dyDescent="0.2"/>
    <row r="2261" s="1" customFormat="1" x14ac:dyDescent="0.2"/>
    <row r="2262" s="1" customFormat="1" x14ac:dyDescent="0.2"/>
    <row r="2263" s="1" customFormat="1" x14ac:dyDescent="0.2"/>
    <row r="2264" s="1" customFormat="1" x14ac:dyDescent="0.2"/>
    <row r="2265" s="1" customFormat="1" x14ac:dyDescent="0.2"/>
    <row r="2266" s="1" customFormat="1" x14ac:dyDescent="0.2"/>
    <row r="2267" s="1" customFormat="1" x14ac:dyDescent="0.2"/>
    <row r="2268" s="1" customFormat="1" x14ac:dyDescent="0.2"/>
    <row r="2269" s="1" customFormat="1" x14ac:dyDescent="0.2"/>
    <row r="2270" s="1" customFormat="1" x14ac:dyDescent="0.2"/>
    <row r="2271" s="1" customFormat="1" x14ac:dyDescent="0.2"/>
    <row r="2272" s="1" customFormat="1" x14ac:dyDescent="0.2"/>
    <row r="2273" s="1" customFormat="1" x14ac:dyDescent="0.2"/>
    <row r="2274" s="1" customFormat="1" x14ac:dyDescent="0.2"/>
    <row r="2275" s="1" customFormat="1" x14ac:dyDescent="0.2"/>
    <row r="2276" s="1" customFormat="1" x14ac:dyDescent="0.2"/>
    <row r="2277" s="1" customFormat="1" x14ac:dyDescent="0.2"/>
    <row r="2278" s="1" customFormat="1" x14ac:dyDescent="0.2"/>
    <row r="2279" s="1" customFormat="1" x14ac:dyDescent="0.2"/>
    <row r="2280" s="1" customFormat="1" x14ac:dyDescent="0.2"/>
    <row r="2281" s="1" customFormat="1" x14ac:dyDescent="0.2"/>
    <row r="2282" s="1" customFormat="1" x14ac:dyDescent="0.2"/>
    <row r="2283" s="1" customFormat="1" x14ac:dyDescent="0.2"/>
    <row r="2284" s="1" customFormat="1" x14ac:dyDescent="0.2"/>
    <row r="2285" s="1" customFormat="1" x14ac:dyDescent="0.2"/>
    <row r="2286" s="1" customFormat="1" x14ac:dyDescent="0.2"/>
    <row r="2287" s="1" customFormat="1" x14ac:dyDescent="0.2"/>
    <row r="2288" s="1" customFormat="1" x14ac:dyDescent="0.2"/>
    <row r="2289" s="1" customFormat="1" x14ac:dyDescent="0.2"/>
    <row r="2290" s="1" customFormat="1" x14ac:dyDescent="0.2"/>
    <row r="2291" s="79" customFormat="1" x14ac:dyDescent="0.2"/>
    <row r="2292" s="79" customFormat="1" x14ac:dyDescent="0.2"/>
    <row r="2293" s="79" customFormat="1" x14ac:dyDescent="0.2"/>
    <row r="2294" s="79" customFormat="1" x14ac:dyDescent="0.2"/>
    <row r="2295" s="79" customFormat="1" x14ac:dyDescent="0.2"/>
    <row r="2296" s="79" customFormat="1" x14ac:dyDescent="0.2"/>
    <row r="2297" s="79" customFormat="1" x14ac:dyDescent="0.2"/>
    <row r="2298" s="79" customFormat="1" x14ac:dyDescent="0.2"/>
    <row r="2299" s="79" customFormat="1" x14ac:dyDescent="0.2"/>
    <row r="2300" s="79" customFormat="1" x14ac:dyDescent="0.2"/>
    <row r="2301" s="1" customFormat="1" x14ac:dyDescent="0.2"/>
    <row r="2302" s="1" customFormat="1" x14ac:dyDescent="0.2"/>
    <row r="2303" s="1" customFormat="1" x14ac:dyDescent="0.2"/>
    <row r="2304" s="1" customFormat="1" x14ac:dyDescent="0.2"/>
    <row r="2305" s="1" customFormat="1" x14ac:dyDescent="0.2"/>
    <row r="2306" s="1" customFormat="1" x14ac:dyDescent="0.2"/>
    <row r="2307" s="1" customFormat="1" x14ac:dyDescent="0.2"/>
    <row r="2308" s="1" customFormat="1" x14ac:dyDescent="0.2"/>
    <row r="2309" s="1" customFormat="1" x14ac:dyDescent="0.2"/>
    <row r="2310" s="1" customFormat="1" x14ac:dyDescent="0.2"/>
    <row r="2311" s="1" customFormat="1" x14ac:dyDescent="0.2"/>
    <row r="2312" s="1" customFormat="1" x14ac:dyDescent="0.2"/>
    <row r="2313" s="1" customFormat="1" x14ac:dyDescent="0.2"/>
    <row r="2314" s="1" customFormat="1" x14ac:dyDescent="0.2"/>
    <row r="2315" s="1" customFormat="1" x14ac:dyDescent="0.2"/>
    <row r="2316" s="1" customFormat="1" x14ac:dyDescent="0.2"/>
    <row r="2317" s="1" customFormat="1" x14ac:dyDescent="0.2"/>
    <row r="2318" s="1" customFormat="1" x14ac:dyDescent="0.2"/>
    <row r="2319" s="1" customFormat="1" x14ac:dyDescent="0.2"/>
    <row r="2320" s="1" customFormat="1" x14ac:dyDescent="0.2"/>
    <row r="2321" s="1" customFormat="1" x14ac:dyDescent="0.2"/>
    <row r="2322" s="315" customFormat="1" ht="11.25" x14ac:dyDescent="0.2"/>
    <row r="2323" s="315" customFormat="1" ht="11.25" x14ac:dyDescent="0.2"/>
    <row r="2324" s="315" customFormat="1" ht="11.25" x14ac:dyDescent="0.2"/>
    <row r="2325" s="1" customFormat="1" x14ac:dyDescent="0.2"/>
    <row r="2326" s="316" customFormat="1" ht="11.25" x14ac:dyDescent="0.2"/>
    <row r="2327" s="1" customFormat="1" x14ac:dyDescent="0.2"/>
    <row r="2328" s="1" customFormat="1" x14ac:dyDescent="0.2"/>
    <row r="2329" s="1" customFormat="1" x14ac:dyDescent="0.2"/>
    <row r="2330" s="1" customFormat="1" x14ac:dyDescent="0.2"/>
    <row r="2331" s="1" customFormat="1" x14ac:dyDescent="0.2"/>
    <row r="2332" s="1" customFormat="1" x14ac:dyDescent="0.2"/>
    <row r="2333" s="1" customFormat="1" x14ac:dyDescent="0.2"/>
    <row r="2334" s="1" customFormat="1" x14ac:dyDescent="0.2"/>
    <row r="2335" s="1" customFormat="1" x14ac:dyDescent="0.2"/>
    <row r="2336" s="1" customFormat="1" x14ac:dyDescent="0.2"/>
    <row r="2337" s="1" customFormat="1" x14ac:dyDescent="0.2"/>
    <row r="2338" s="1" customFormat="1" x14ac:dyDescent="0.2"/>
    <row r="2339" s="1" customFormat="1" x14ac:dyDescent="0.2"/>
    <row r="2340" s="1" customFormat="1" x14ac:dyDescent="0.2"/>
    <row r="2341" s="1" customFormat="1" x14ac:dyDescent="0.2"/>
    <row r="2342" s="1" customFormat="1" x14ac:dyDescent="0.2"/>
    <row r="2343" s="1" customFormat="1" x14ac:dyDescent="0.2"/>
    <row r="2344" s="1" customFormat="1" x14ac:dyDescent="0.2"/>
    <row r="2345" s="1" customFormat="1" x14ac:dyDescent="0.2"/>
    <row r="2346" s="1" customFormat="1" x14ac:dyDescent="0.2"/>
    <row r="2347" s="1" customFormat="1" x14ac:dyDescent="0.2"/>
    <row r="2348" s="1" customFormat="1" x14ac:dyDescent="0.2"/>
    <row r="2349" s="1" customFormat="1" x14ac:dyDescent="0.2"/>
    <row r="2350" s="1" customFormat="1" x14ac:dyDescent="0.2"/>
    <row r="2351" s="1" customFormat="1" x14ac:dyDescent="0.2"/>
    <row r="2352" s="1" customFormat="1" x14ac:dyDescent="0.2"/>
    <row r="2353" s="1" customFormat="1" x14ac:dyDescent="0.2"/>
    <row r="2354" s="1" customFormat="1" x14ac:dyDescent="0.2"/>
    <row r="2355" s="1" customFormat="1" x14ac:dyDescent="0.2"/>
    <row r="2356" s="1" customFormat="1" x14ac:dyDescent="0.2"/>
    <row r="2357" s="1" customFormat="1" x14ac:dyDescent="0.2"/>
    <row r="2358" s="1" customFormat="1" x14ac:dyDescent="0.2"/>
    <row r="2359" s="1" customFormat="1" x14ac:dyDescent="0.2"/>
    <row r="2360" s="1" customFormat="1" x14ac:dyDescent="0.2"/>
    <row r="2361" s="1" customFormat="1" x14ac:dyDescent="0.2"/>
    <row r="2362" s="1" customFormat="1" x14ac:dyDescent="0.2"/>
    <row r="2363" s="1" customFormat="1" x14ac:dyDescent="0.2"/>
    <row r="2364" s="1" customFormat="1" x14ac:dyDescent="0.2"/>
    <row r="2365" s="1" customFormat="1" x14ac:dyDescent="0.2"/>
    <row r="2366" s="1" customFormat="1" x14ac:dyDescent="0.2"/>
    <row r="2367" s="1" customFormat="1" x14ac:dyDescent="0.2"/>
    <row r="2368" s="1" customFormat="1" x14ac:dyDescent="0.2"/>
    <row r="2369" s="1" customFormat="1" x14ac:dyDescent="0.2"/>
    <row r="2370" s="1" customFormat="1" x14ac:dyDescent="0.2"/>
    <row r="2371" s="1" customFormat="1" x14ac:dyDescent="0.2"/>
    <row r="2372" s="1" customFormat="1" x14ac:dyDescent="0.2"/>
    <row r="2373" s="1" customFormat="1" x14ac:dyDescent="0.2"/>
    <row r="2374" s="1" customFormat="1" x14ac:dyDescent="0.2"/>
    <row r="2375" s="1" customFormat="1" x14ac:dyDescent="0.2"/>
    <row r="2376" s="1" customFormat="1" x14ac:dyDescent="0.2"/>
    <row r="2377" s="1" customFormat="1" x14ac:dyDescent="0.2"/>
    <row r="2378" s="1" customFormat="1" x14ac:dyDescent="0.2"/>
    <row r="2379" s="1" customFormat="1" x14ac:dyDescent="0.2"/>
    <row r="2380" s="317" customFormat="1" ht="11.25" x14ac:dyDescent="0.2"/>
    <row r="2381" s="317" customFormat="1" ht="11.25" x14ac:dyDescent="0.2"/>
    <row r="2382" s="1" customFormat="1" x14ac:dyDescent="0.2"/>
    <row r="2383" s="317" customFormat="1" ht="11.25" x14ac:dyDescent="0.2"/>
    <row r="2384" s="317" customFormat="1" ht="11.25" x14ac:dyDescent="0.2"/>
    <row r="2385" s="317" customFormat="1" ht="11.25" x14ac:dyDescent="0.2"/>
    <row r="2386" s="317" customFormat="1" ht="11.25" x14ac:dyDescent="0.2"/>
    <row r="2387" s="317" customFormat="1" ht="11.25" x14ac:dyDescent="0.2"/>
    <row r="2388" s="317" customFormat="1" ht="11.25" x14ac:dyDescent="0.2"/>
    <row r="2389" s="1" customFormat="1" x14ac:dyDescent="0.2"/>
    <row r="2390" s="1" customFormat="1" x14ac:dyDescent="0.2"/>
    <row r="2391" s="1" customFormat="1" x14ac:dyDescent="0.2"/>
    <row r="2392" s="1" customFormat="1" x14ac:dyDescent="0.2"/>
    <row r="2393" s="1" customFormat="1" x14ac:dyDescent="0.2"/>
    <row r="2394" s="1" customFormat="1" x14ac:dyDescent="0.2"/>
    <row r="2395" s="1" customFormat="1" x14ac:dyDescent="0.2"/>
    <row r="2396" s="1" customFormat="1" x14ac:dyDescent="0.2"/>
    <row r="2397" s="1" customFormat="1" x14ac:dyDescent="0.2"/>
    <row r="2398" s="1" customFormat="1" x14ac:dyDescent="0.2"/>
    <row r="2399" s="1" customFormat="1" x14ac:dyDescent="0.2"/>
    <row r="2400" s="1" customFormat="1" x14ac:dyDescent="0.2"/>
    <row r="2401" s="1" customFormat="1" x14ac:dyDescent="0.2"/>
    <row r="2402" s="1" customFormat="1" x14ac:dyDescent="0.2"/>
    <row r="2403" s="1" customFormat="1" x14ac:dyDescent="0.2"/>
    <row r="2404" s="1" customFormat="1" x14ac:dyDescent="0.2"/>
    <row r="2405" s="1" customFormat="1" x14ac:dyDescent="0.2"/>
    <row r="2406" s="1" customFormat="1" x14ac:dyDescent="0.2"/>
    <row r="2407" s="1" customFormat="1" x14ac:dyDescent="0.2"/>
    <row r="2408" s="1" customFormat="1" x14ac:dyDescent="0.2"/>
    <row r="2409" s="1" customFormat="1" x14ac:dyDescent="0.2"/>
    <row r="2410" s="1" customFormat="1" x14ac:dyDescent="0.2"/>
    <row r="2411" s="1" customFormat="1" x14ac:dyDescent="0.2"/>
    <row r="2412" s="1" customFormat="1" x14ac:dyDescent="0.2"/>
    <row r="2413" s="1" customFormat="1" x14ac:dyDescent="0.2"/>
    <row r="2414" s="1" customFormat="1" x14ac:dyDescent="0.2"/>
    <row r="2415" s="1" customFormat="1" x14ac:dyDescent="0.2"/>
    <row r="2416" s="1" customFormat="1" x14ac:dyDescent="0.2"/>
    <row r="2417" s="1" customFormat="1" x14ac:dyDescent="0.2"/>
    <row r="2418" s="1" customFormat="1" x14ac:dyDescent="0.2"/>
    <row r="2419" s="1" customFormat="1" x14ac:dyDescent="0.2"/>
    <row r="2420" s="1" customFormat="1" x14ac:dyDescent="0.2"/>
    <row r="2421" s="1" customFormat="1" x14ac:dyDescent="0.2"/>
    <row r="2422" s="1" customFormat="1" x14ac:dyDescent="0.2"/>
    <row r="2423" s="1" customFormat="1" x14ac:dyDescent="0.2"/>
    <row r="2424" s="1" customFormat="1" x14ac:dyDescent="0.2"/>
    <row r="2425" s="1" customFormat="1" x14ac:dyDescent="0.2"/>
    <row r="2426" s="1" customFormat="1" x14ac:dyDescent="0.2"/>
    <row r="2427" s="1" customFormat="1" x14ac:dyDescent="0.2"/>
    <row r="2428" s="1" customFormat="1" x14ac:dyDescent="0.2"/>
    <row r="2429" s="164" customFormat="1" x14ac:dyDescent="0.2"/>
    <row r="2430" s="164" customFormat="1" x14ac:dyDescent="0.2"/>
    <row r="2431" s="164" customFormat="1" x14ac:dyDescent="0.2"/>
    <row r="2432" s="164" customFormat="1" x14ac:dyDescent="0.2"/>
    <row r="2433" s="164" customFormat="1" x14ac:dyDescent="0.2"/>
    <row r="2434" s="1" customFormat="1" x14ac:dyDescent="0.2"/>
    <row r="2435" s="164" customFormat="1" x14ac:dyDescent="0.2"/>
    <row r="2436" s="164" customFormat="1" x14ac:dyDescent="0.2"/>
    <row r="2437" s="164" customFormat="1" x14ac:dyDescent="0.2"/>
    <row r="2438" s="1" customFormat="1" x14ac:dyDescent="0.2"/>
    <row r="2439" s="1" customFormat="1" x14ac:dyDescent="0.2"/>
    <row r="2440" s="1" customFormat="1" x14ac:dyDescent="0.2"/>
    <row r="2441" s="1" customFormat="1" x14ac:dyDescent="0.2"/>
    <row r="2442" s="1" customFormat="1" x14ac:dyDescent="0.2"/>
    <row r="2443" s="1" customFormat="1" x14ac:dyDescent="0.2"/>
    <row r="2444" s="1" customFormat="1" x14ac:dyDescent="0.2"/>
    <row r="2445" s="1" customFormat="1" x14ac:dyDescent="0.2"/>
    <row r="2446" s="1" customFormat="1" x14ac:dyDescent="0.2"/>
    <row r="2447" s="1" customFormat="1" x14ac:dyDescent="0.2"/>
    <row r="2448" s="1" customFormat="1" x14ac:dyDescent="0.2"/>
    <row r="2449" s="1" customFormat="1" x14ac:dyDescent="0.2"/>
    <row r="2450" s="1" customFormat="1" x14ac:dyDescent="0.2"/>
    <row r="2451" s="1" customFormat="1" x14ac:dyDescent="0.2"/>
    <row r="2452" s="1" customFormat="1" x14ac:dyDescent="0.2"/>
    <row r="2453" s="1" customFormat="1" x14ac:dyDescent="0.2"/>
    <row r="2454" s="1" customFormat="1" x14ac:dyDescent="0.2"/>
    <row r="2455" s="1" customFormat="1" x14ac:dyDescent="0.2"/>
    <row r="2456" s="1" customFormat="1" x14ac:dyDescent="0.2"/>
    <row r="2457" s="1" customFormat="1" x14ac:dyDescent="0.2"/>
    <row r="2458" s="1" customFormat="1" x14ac:dyDescent="0.2"/>
    <row r="2459" s="1" customFormat="1" x14ac:dyDescent="0.2"/>
    <row r="2460" s="1" customFormat="1" x14ac:dyDescent="0.2"/>
    <row r="2461" s="1" customFormat="1" x14ac:dyDescent="0.2"/>
    <row r="2462" s="1" customFormat="1" x14ac:dyDescent="0.2"/>
    <row r="2463" s="1" customFormat="1" x14ac:dyDescent="0.2"/>
    <row r="2464" s="1" customFormat="1" x14ac:dyDescent="0.2"/>
    <row r="2465" s="1" customFormat="1" x14ac:dyDescent="0.2"/>
    <row r="2466" s="1" customFormat="1" x14ac:dyDescent="0.2"/>
    <row r="2467" s="1" customFormat="1" x14ac:dyDescent="0.2"/>
    <row r="2468" s="1" customFormat="1" x14ac:dyDescent="0.2"/>
    <row r="2469" s="1" customFormat="1" x14ac:dyDescent="0.2"/>
    <row r="2470" s="1" customFormat="1" x14ac:dyDescent="0.2"/>
    <row r="2471" s="1" customFormat="1" x14ac:dyDescent="0.2"/>
    <row r="2472" s="1" customFormat="1" x14ac:dyDescent="0.2"/>
    <row r="2473" s="1" customFormat="1" x14ac:dyDescent="0.2"/>
    <row r="2474" s="1" customFormat="1" x14ac:dyDescent="0.2"/>
    <row r="2475" s="1" customFormat="1" x14ac:dyDescent="0.2"/>
    <row r="2476" s="1" customFormat="1" x14ac:dyDescent="0.2"/>
    <row r="2477" s="1" customFormat="1" x14ac:dyDescent="0.2"/>
    <row r="2478" s="1" customFormat="1" x14ac:dyDescent="0.2"/>
    <row r="2479" s="1" customFormat="1" x14ac:dyDescent="0.2"/>
    <row r="2480" s="1" customFormat="1" x14ac:dyDescent="0.2"/>
    <row r="2481" s="1" customFormat="1" x14ac:dyDescent="0.2"/>
    <row r="2482" s="1" customFormat="1" x14ac:dyDescent="0.2"/>
    <row r="2483" s="1" customFormat="1" x14ac:dyDescent="0.2"/>
    <row r="2484" s="1" customFormat="1" x14ac:dyDescent="0.2"/>
    <row r="2485" s="1" customFormat="1" x14ac:dyDescent="0.2"/>
    <row r="2486" s="1" customFormat="1" x14ac:dyDescent="0.2"/>
    <row r="2487" s="1" customFormat="1" x14ac:dyDescent="0.2"/>
    <row r="2488" s="1" customFormat="1" x14ac:dyDescent="0.2"/>
    <row r="2489" s="1" customFormat="1" ht="13.5" customHeight="1" x14ac:dyDescent="0.2"/>
    <row r="2490" s="1" customFormat="1" ht="12.75" customHeight="1" x14ac:dyDescent="0.2"/>
    <row r="2491" s="1" customFormat="1" x14ac:dyDescent="0.2"/>
    <row r="2492" s="1" customFormat="1" x14ac:dyDescent="0.2"/>
    <row r="2493" s="1" customFormat="1" x14ac:dyDescent="0.2"/>
    <row r="2494" s="1" customFormat="1" x14ac:dyDescent="0.2"/>
    <row r="2495" s="1" customFormat="1" x14ac:dyDescent="0.2"/>
    <row r="2496" s="1" customFormat="1" x14ac:dyDescent="0.2"/>
    <row r="2497" s="1" customFormat="1" x14ac:dyDescent="0.2"/>
    <row r="2498" s="1" customFormat="1" x14ac:dyDescent="0.2"/>
    <row r="2499" s="1" customFormat="1" x14ac:dyDescent="0.2"/>
    <row r="2500" s="1" customFormat="1" x14ac:dyDescent="0.2"/>
    <row r="2501" s="1" customFormat="1" x14ac:dyDescent="0.2"/>
    <row r="2502" s="1" customFormat="1" x14ac:dyDescent="0.2"/>
    <row r="2503" s="1" customFormat="1" x14ac:dyDescent="0.2"/>
    <row r="2504" s="1" customFormat="1" x14ac:dyDescent="0.2"/>
    <row r="2505" s="1" customFormat="1" x14ac:dyDescent="0.2"/>
    <row r="2506" s="1" customFormat="1" x14ac:dyDescent="0.2"/>
    <row r="2507" s="1" customFormat="1" x14ac:dyDescent="0.2"/>
    <row r="2508" s="1" customFormat="1" x14ac:dyDescent="0.2"/>
    <row r="2509" s="1" customFormat="1" x14ac:dyDescent="0.2"/>
    <row r="2510" s="1" customFormat="1" x14ac:dyDescent="0.2"/>
    <row r="2511" s="1" customFormat="1" x14ac:dyDescent="0.2"/>
    <row r="2512" s="1" customFormat="1" x14ac:dyDescent="0.2"/>
    <row r="2513" s="1" customFormat="1" x14ac:dyDescent="0.2"/>
    <row r="2514" s="1" customFormat="1" x14ac:dyDescent="0.2"/>
    <row r="2515" s="1" customFormat="1" x14ac:dyDescent="0.2"/>
  </sheetData>
  <mergeCells count="323">
    <mergeCell ref="R1740:R1744"/>
    <mergeCell ref="S1740:S1744"/>
    <mergeCell ref="J1741:J1744"/>
    <mergeCell ref="K1741:K1744"/>
    <mergeCell ref="N1741:N1744"/>
    <mergeCell ref="O1741:O1744"/>
    <mergeCell ref="R1562:R1566"/>
    <mergeCell ref="S1562:S1566"/>
    <mergeCell ref="J1563:J1566"/>
    <mergeCell ref="K1563:K1566"/>
    <mergeCell ref="N1563:N1566"/>
    <mergeCell ref="O1563:O1566"/>
    <mergeCell ref="M1563:M1566"/>
    <mergeCell ref="R1463:R1467"/>
    <mergeCell ref="S1463:S1467"/>
    <mergeCell ref="J1464:J1467"/>
    <mergeCell ref="K1464:K1467"/>
    <mergeCell ref="N1464:N1467"/>
    <mergeCell ref="O1464:O1467"/>
    <mergeCell ref="R1390:R1394"/>
    <mergeCell ref="S1390:S1394"/>
    <mergeCell ref="J1391:J1394"/>
    <mergeCell ref="K1391:K1394"/>
    <mergeCell ref="N1391:N1394"/>
    <mergeCell ref="O1391:O1394"/>
    <mergeCell ref="B1462:Q1462"/>
    <mergeCell ref="Q1463:Q1467"/>
    <mergeCell ref="B1464:B1467"/>
    <mergeCell ref="B1463:O1463"/>
    <mergeCell ref="D1449:H1449"/>
    <mergeCell ref="C1395:H1395"/>
    <mergeCell ref="D1396:H1396"/>
    <mergeCell ref="D1410:H1410"/>
    <mergeCell ref="D1415:H1415"/>
    <mergeCell ref="D1432:H1432"/>
    <mergeCell ref="M1391:M1394"/>
    <mergeCell ref="G1391:G1394"/>
    <mergeCell ref="R1262:R1266"/>
    <mergeCell ref="S1262:S1266"/>
    <mergeCell ref="J1263:J1266"/>
    <mergeCell ref="K1263:K1266"/>
    <mergeCell ref="N1263:N1266"/>
    <mergeCell ref="O1263:O1266"/>
    <mergeCell ref="R447:R451"/>
    <mergeCell ref="S447:S451"/>
    <mergeCell ref="J448:J451"/>
    <mergeCell ref="K448:K451"/>
    <mergeCell ref="N448:N451"/>
    <mergeCell ref="O448:O451"/>
    <mergeCell ref="R338:R342"/>
    <mergeCell ref="S338:S342"/>
    <mergeCell ref="J339:J342"/>
    <mergeCell ref="K339:K342"/>
    <mergeCell ref="N339:N342"/>
    <mergeCell ref="O339:O342"/>
    <mergeCell ref="R266:R270"/>
    <mergeCell ref="S266:S270"/>
    <mergeCell ref="J267:J270"/>
    <mergeCell ref="K267:K270"/>
    <mergeCell ref="N267:N270"/>
    <mergeCell ref="O267:O270"/>
    <mergeCell ref="R188:R192"/>
    <mergeCell ref="S188:S192"/>
    <mergeCell ref="J189:J192"/>
    <mergeCell ref="K189:K192"/>
    <mergeCell ref="N189:N192"/>
    <mergeCell ref="O189:O192"/>
    <mergeCell ref="R96:R100"/>
    <mergeCell ref="S96:S100"/>
    <mergeCell ref="J97:J100"/>
    <mergeCell ref="K97:K100"/>
    <mergeCell ref="N97:N100"/>
    <mergeCell ref="O97:O100"/>
    <mergeCell ref="B187:Q187"/>
    <mergeCell ref="Q188:Q192"/>
    <mergeCell ref="B189:B192"/>
    <mergeCell ref="B188:O188"/>
    <mergeCell ref="D181:H181"/>
    <mergeCell ref="C101:H101"/>
    <mergeCell ref="D102:H102"/>
    <mergeCell ref="D105:H105"/>
    <mergeCell ref="E106:H106"/>
    <mergeCell ref="E109:H109"/>
    <mergeCell ref="E116:H116"/>
    <mergeCell ref="D124:H124"/>
    <mergeCell ref="R74:R78"/>
    <mergeCell ref="S74:S78"/>
    <mergeCell ref="J75:J78"/>
    <mergeCell ref="K75:K78"/>
    <mergeCell ref="N75:N78"/>
    <mergeCell ref="O75:O78"/>
    <mergeCell ref="R4:R8"/>
    <mergeCell ref="S4:S8"/>
    <mergeCell ref="J5:J8"/>
    <mergeCell ref="K5:K8"/>
    <mergeCell ref="N5:N8"/>
    <mergeCell ref="O5:O8"/>
    <mergeCell ref="B73:Q73"/>
    <mergeCell ref="Q74:Q78"/>
    <mergeCell ref="B75:B78"/>
    <mergeCell ref="B74:O74"/>
    <mergeCell ref="B5:B8"/>
    <mergeCell ref="D5:D8"/>
    <mergeCell ref="B4:O4"/>
    <mergeCell ref="C1745:H1745"/>
    <mergeCell ref="D1746:H1746"/>
    <mergeCell ref="E1747:H1747"/>
    <mergeCell ref="E1757:H1757"/>
    <mergeCell ref="E1758:H1758"/>
    <mergeCell ref="B1739:Q1739"/>
    <mergeCell ref="Q1740:Q1744"/>
    <mergeCell ref="B1741:B1744"/>
    <mergeCell ref="C1741:C1744"/>
    <mergeCell ref="D1741:D1744"/>
    <mergeCell ref="E1741:E1744"/>
    <mergeCell ref="M1741:M1744"/>
    <mergeCell ref="F1741:F1744"/>
    <mergeCell ref="G1741:G1744"/>
    <mergeCell ref="H1741:H1744"/>
    <mergeCell ref="I1741:I1744"/>
    <mergeCell ref="B1740:O1740"/>
    <mergeCell ref="D1708:H1708"/>
    <mergeCell ref="D1723:H1723"/>
    <mergeCell ref="D1735:H1735"/>
    <mergeCell ref="E1644:H1644"/>
    <mergeCell ref="E1661:H1661"/>
    <mergeCell ref="D1667:H1667"/>
    <mergeCell ref="D1689:H1689"/>
    <mergeCell ref="D1700:H1700"/>
    <mergeCell ref="D1703:H1703"/>
    <mergeCell ref="E1636:H1636"/>
    <mergeCell ref="C1567:H1567"/>
    <mergeCell ref="D1568:H1568"/>
    <mergeCell ref="E1569:H1569"/>
    <mergeCell ref="E1582:H1582"/>
    <mergeCell ref="D1590:H1590"/>
    <mergeCell ref="D1594:H1594"/>
    <mergeCell ref="D1608:H1608"/>
    <mergeCell ref="E1609:H1609"/>
    <mergeCell ref="E1623:H1623"/>
    <mergeCell ref="E1634:H1634"/>
    <mergeCell ref="D1635:H1635"/>
    <mergeCell ref="G1563:G1566"/>
    <mergeCell ref="H1563:H1566"/>
    <mergeCell ref="I1563:I1566"/>
    <mergeCell ref="B1561:Q1561"/>
    <mergeCell ref="Q1562:Q1566"/>
    <mergeCell ref="B1563:B1566"/>
    <mergeCell ref="C1563:C1566"/>
    <mergeCell ref="D1563:D1566"/>
    <mergeCell ref="E1563:E1566"/>
    <mergeCell ref="F1563:F1566"/>
    <mergeCell ref="B1562:O1562"/>
    <mergeCell ref="D1534:H1534"/>
    <mergeCell ref="D1541:H1541"/>
    <mergeCell ref="D1469:H1469"/>
    <mergeCell ref="D1500:H1500"/>
    <mergeCell ref="E1501:H1501"/>
    <mergeCell ref="E1514:H1514"/>
    <mergeCell ref="D1517:H1517"/>
    <mergeCell ref="D1531:H1531"/>
    <mergeCell ref="M1464:M1467"/>
    <mergeCell ref="C1468:H1468"/>
    <mergeCell ref="H1464:H1467"/>
    <mergeCell ref="I1464:I1467"/>
    <mergeCell ref="C1464:C1467"/>
    <mergeCell ref="D1464:D1467"/>
    <mergeCell ref="E1464:E1467"/>
    <mergeCell ref="F1464:F1467"/>
    <mergeCell ref="G1464:G1467"/>
    <mergeCell ref="H1391:H1394"/>
    <mergeCell ref="I1391:I1394"/>
    <mergeCell ref="B1389:Q1389"/>
    <mergeCell ref="Q1390:Q1394"/>
    <mergeCell ref="B1391:B1394"/>
    <mergeCell ref="C1391:C1394"/>
    <mergeCell ref="D1391:D1394"/>
    <mergeCell ref="E1391:E1394"/>
    <mergeCell ref="F1391:F1394"/>
    <mergeCell ref="B1390:O1390"/>
    <mergeCell ref="E1342:H1342"/>
    <mergeCell ref="D1346:H1346"/>
    <mergeCell ref="D1271:H1271"/>
    <mergeCell ref="D1285:H1285"/>
    <mergeCell ref="E1286:H1286"/>
    <mergeCell ref="E1294:H1294"/>
    <mergeCell ref="E1303:H1303"/>
    <mergeCell ref="E1326:H1326"/>
    <mergeCell ref="C1267:H1267"/>
    <mergeCell ref="D1268:H1268"/>
    <mergeCell ref="I1263:I1266"/>
    <mergeCell ref="M1263:M1266"/>
    <mergeCell ref="B1261:Q1261"/>
    <mergeCell ref="Q1262:Q1266"/>
    <mergeCell ref="B1263:B1266"/>
    <mergeCell ref="C1263:C1266"/>
    <mergeCell ref="D1263:D1266"/>
    <mergeCell ref="E1263:E1266"/>
    <mergeCell ref="F1263:F1266"/>
    <mergeCell ref="G1263:G1266"/>
    <mergeCell ref="H1263:H1266"/>
    <mergeCell ref="B1262:O1262"/>
    <mergeCell ref="D1227:H1227"/>
    <mergeCell ref="M448:M451"/>
    <mergeCell ref="G448:G451"/>
    <mergeCell ref="H448:H451"/>
    <mergeCell ref="I448:I451"/>
    <mergeCell ref="C452:H452"/>
    <mergeCell ref="D453:H453"/>
    <mergeCell ref="D643:H643"/>
    <mergeCell ref="D857:H857"/>
    <mergeCell ref="D963:H963"/>
    <mergeCell ref="B446:Q446"/>
    <mergeCell ref="Q447:Q451"/>
    <mergeCell ref="B448:B451"/>
    <mergeCell ref="C448:C451"/>
    <mergeCell ref="D448:D451"/>
    <mergeCell ref="E448:E451"/>
    <mergeCell ref="F448:F451"/>
    <mergeCell ref="B447:O447"/>
    <mergeCell ref="E374:H374"/>
    <mergeCell ref="D383:H383"/>
    <mergeCell ref="C343:H343"/>
    <mergeCell ref="D344:H344"/>
    <mergeCell ref="D353:H353"/>
    <mergeCell ref="E354:H354"/>
    <mergeCell ref="B337:Q337"/>
    <mergeCell ref="Q338:Q342"/>
    <mergeCell ref="B339:B342"/>
    <mergeCell ref="C339:C342"/>
    <mergeCell ref="D339:D342"/>
    <mergeCell ref="M339:M342"/>
    <mergeCell ref="E339:E342"/>
    <mergeCell ref="F339:F342"/>
    <mergeCell ref="G339:G342"/>
    <mergeCell ref="H339:H342"/>
    <mergeCell ref="I339:I342"/>
    <mergeCell ref="B338:O338"/>
    <mergeCell ref="D291:H291"/>
    <mergeCell ref="D315:H315"/>
    <mergeCell ref="D321:H321"/>
    <mergeCell ref="D326:H326"/>
    <mergeCell ref="C271:H271"/>
    <mergeCell ref="D272:H272"/>
    <mergeCell ref="I267:I270"/>
    <mergeCell ref="M267:M270"/>
    <mergeCell ref="B265:Q265"/>
    <mergeCell ref="Q266:Q270"/>
    <mergeCell ref="B267:B270"/>
    <mergeCell ref="C267:C270"/>
    <mergeCell ref="D267:D270"/>
    <mergeCell ref="E267:E270"/>
    <mergeCell ref="F267:F270"/>
    <mergeCell ref="G267:G270"/>
    <mergeCell ref="H267:H270"/>
    <mergeCell ref="B266:O266"/>
    <mergeCell ref="D256:H256"/>
    <mergeCell ref="C193:H193"/>
    <mergeCell ref="D194:H194"/>
    <mergeCell ref="I189:I192"/>
    <mergeCell ref="M189:M192"/>
    <mergeCell ref="D200:H200"/>
    <mergeCell ref="D211:H211"/>
    <mergeCell ref="D220:H220"/>
    <mergeCell ref="D233:H233"/>
    <mergeCell ref="D244:H244"/>
    <mergeCell ref="C189:C192"/>
    <mergeCell ref="D189:D192"/>
    <mergeCell ref="E189:E192"/>
    <mergeCell ref="F189:F192"/>
    <mergeCell ref="G189:G192"/>
    <mergeCell ref="H189:H192"/>
    <mergeCell ref="D128:H128"/>
    <mergeCell ref="D145:H145"/>
    <mergeCell ref="D161:H161"/>
    <mergeCell ref="D166:H166"/>
    <mergeCell ref="M97:M100"/>
    <mergeCell ref="G97:G100"/>
    <mergeCell ref="H97:H100"/>
    <mergeCell ref="I97:I100"/>
    <mergeCell ref="B95:Q95"/>
    <mergeCell ref="Q96:Q100"/>
    <mergeCell ref="B97:B100"/>
    <mergeCell ref="C97:C100"/>
    <mergeCell ref="D97:D100"/>
    <mergeCell ref="E97:E100"/>
    <mergeCell ref="F97:F100"/>
    <mergeCell ref="B96:O96"/>
    <mergeCell ref="C79:H79"/>
    <mergeCell ref="D80:H80"/>
    <mergeCell ref="D88:H88"/>
    <mergeCell ref="M75:M78"/>
    <mergeCell ref="E75:E78"/>
    <mergeCell ref="F75:F78"/>
    <mergeCell ref="G75:G78"/>
    <mergeCell ref="H75:H78"/>
    <mergeCell ref="I75:I78"/>
    <mergeCell ref="C75:C78"/>
    <mergeCell ref="D75:D78"/>
    <mergeCell ref="B2:Q2"/>
    <mergeCell ref="D70:H70"/>
    <mergeCell ref="E24:H24"/>
    <mergeCell ref="D45:H45"/>
    <mergeCell ref="F5:F8"/>
    <mergeCell ref="I5:I8"/>
    <mergeCell ref="D67:H67"/>
    <mergeCell ref="D59:H59"/>
    <mergeCell ref="D56:H56"/>
    <mergeCell ref="G5:G8"/>
    <mergeCell ref="E18:H18"/>
    <mergeCell ref="D10:H10"/>
    <mergeCell ref="E21:H21"/>
    <mergeCell ref="D57:H57"/>
    <mergeCell ref="E11:H11"/>
    <mergeCell ref="D58:H58"/>
    <mergeCell ref="D31:H31"/>
    <mergeCell ref="H5:H8"/>
    <mergeCell ref="C9:H9"/>
    <mergeCell ref="C5:C8"/>
    <mergeCell ref="E5:E8"/>
    <mergeCell ref="B3:Q3"/>
    <mergeCell ref="Q4:Q8"/>
    <mergeCell ref="M5:M8"/>
  </mergeCells>
  <phoneticPr fontId="1" type="noConversion"/>
  <pageMargins left="0.31496062992125984" right="0.31496062992125984" top="0.15748031496062992" bottom="0.15748031496062992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pageSetUpPr fitToPage="1"/>
  </sheetPr>
  <dimension ref="B1:N1624"/>
  <sheetViews>
    <sheetView zoomScale="90" zoomScaleNormal="90" zoomScaleSheetLayoutView="80" workbookViewId="0"/>
  </sheetViews>
  <sheetFormatPr defaultRowHeight="12.75" x14ac:dyDescent="0.2"/>
  <cols>
    <col min="1" max="1" width="2.85546875" style="14" customWidth="1"/>
    <col min="2" max="2" width="3.140625" style="14" customWidth="1"/>
    <col min="3" max="3" width="42" style="14" customWidth="1"/>
    <col min="4" max="6" width="13" style="14" customWidth="1"/>
    <col min="7" max="7" width="1.42578125" style="14" customWidth="1"/>
    <col min="8" max="10" width="13.5703125" style="14" customWidth="1"/>
    <col min="11" max="11" width="1.85546875" style="14" customWidth="1"/>
    <col min="12" max="12" width="12.7109375" style="14" customWidth="1"/>
    <col min="13" max="13" width="10.7109375" style="14" bestFit="1" customWidth="1"/>
    <col min="14" max="14" width="12.42578125" style="14" customWidth="1"/>
    <col min="15" max="18" width="9.140625" style="14"/>
    <col min="19" max="19" width="10.5703125" style="14" customWidth="1"/>
    <col min="20" max="16384" width="9.140625" style="14"/>
  </cols>
  <sheetData>
    <row r="1" spans="2:14" ht="14.25" customHeight="1" x14ac:dyDescent="0.2"/>
    <row r="2" spans="2:14" s="20" customFormat="1" ht="56.25" customHeight="1" x14ac:dyDescent="0.2">
      <c r="B2" s="482" t="s">
        <v>596</v>
      </c>
      <c r="C2" s="483"/>
      <c r="D2" s="15" t="s">
        <v>593</v>
      </c>
      <c r="E2" s="15" t="s">
        <v>591</v>
      </c>
      <c r="F2" s="15" t="s">
        <v>567</v>
      </c>
      <c r="G2" s="16"/>
      <c r="H2" s="17" t="s">
        <v>594</v>
      </c>
      <c r="I2" s="18" t="s">
        <v>591</v>
      </c>
      <c r="J2" s="18" t="s">
        <v>568</v>
      </c>
      <c r="K2" s="19"/>
      <c r="L2" s="18" t="s">
        <v>597</v>
      </c>
      <c r="M2" s="15" t="s">
        <v>591</v>
      </c>
      <c r="N2" s="17" t="s">
        <v>566</v>
      </c>
    </row>
    <row r="3" spans="2:14" ht="3.75" customHeight="1" x14ac:dyDescent="0.2">
      <c r="B3" s="21"/>
      <c r="C3" s="22"/>
      <c r="D3" s="22"/>
      <c r="E3" s="22"/>
      <c r="F3" s="22"/>
      <c r="G3" s="22"/>
      <c r="H3" s="23"/>
      <c r="I3" s="23"/>
      <c r="J3" s="23"/>
      <c r="K3" s="23"/>
      <c r="L3" s="23"/>
    </row>
    <row r="4" spans="2:14" s="27" customFormat="1" ht="15" x14ac:dyDescent="0.25">
      <c r="B4" s="24">
        <v>1</v>
      </c>
      <c r="C4" s="25" t="s">
        <v>352</v>
      </c>
      <c r="D4" s="26">
        <f>Príjmy!E306</f>
        <v>73170372</v>
      </c>
      <c r="E4" s="26">
        <f>Príjmy!F306</f>
        <v>229900</v>
      </c>
      <c r="F4" s="26">
        <f>D4+E4</f>
        <v>73400272</v>
      </c>
      <c r="G4" s="26"/>
      <c r="H4" s="26">
        <f>Príjmy!E352</f>
        <v>56894004</v>
      </c>
      <c r="I4" s="26">
        <f>Príjmy!F352</f>
        <v>2791254</v>
      </c>
      <c r="J4" s="26">
        <f>H4+I4</f>
        <v>59685258</v>
      </c>
      <c r="K4" s="26"/>
      <c r="L4" s="26">
        <f t="shared" ref="L4:L17" si="0">D4+H4</f>
        <v>130064376</v>
      </c>
      <c r="M4" s="26">
        <f t="shared" ref="M4:M17" si="1">E4+I4</f>
        <v>3021154</v>
      </c>
      <c r="N4" s="26">
        <f>L4+M4</f>
        <v>133085530</v>
      </c>
    </row>
    <row r="5" spans="2:14" s="27" customFormat="1" ht="15" x14ac:dyDescent="0.25">
      <c r="B5" s="24">
        <v>2</v>
      </c>
      <c r="C5" s="25" t="s">
        <v>353</v>
      </c>
      <c r="D5" s="26">
        <f>SUM(D6:D17)</f>
        <v>72479148</v>
      </c>
      <c r="E5" s="26">
        <f>SUM(E6:E17)</f>
        <v>723779</v>
      </c>
      <c r="F5" s="26">
        <f t="shared" ref="F5:F18" si="2">D5+E5</f>
        <v>73202927</v>
      </c>
      <c r="G5" s="26"/>
      <c r="H5" s="26">
        <f>SUM(H6:H17)</f>
        <v>84761686</v>
      </c>
      <c r="I5" s="26">
        <f>SUM(I6:I17)</f>
        <v>3153491</v>
      </c>
      <c r="J5" s="26">
        <f t="shared" ref="J5:J19" si="3">H5+I5</f>
        <v>87915177</v>
      </c>
      <c r="K5" s="26"/>
      <c r="L5" s="26">
        <f t="shared" si="0"/>
        <v>157240834</v>
      </c>
      <c r="M5" s="26">
        <f t="shared" si="1"/>
        <v>3877270</v>
      </c>
      <c r="N5" s="26">
        <f t="shared" ref="N5:N20" si="4">L5+M5</f>
        <v>161118104</v>
      </c>
    </row>
    <row r="6" spans="2:14" ht="14.25" x14ac:dyDescent="0.2">
      <c r="B6" s="24">
        <v>3</v>
      </c>
      <c r="C6" s="28" t="s">
        <v>25</v>
      </c>
      <c r="D6" s="29">
        <f>Výdavky!I9</f>
        <v>1078209</v>
      </c>
      <c r="E6" s="29">
        <f>Výdavky!J9</f>
        <v>6600</v>
      </c>
      <c r="F6" s="29">
        <f t="shared" si="2"/>
        <v>1084809</v>
      </c>
      <c r="G6" s="29"/>
      <c r="H6" s="29">
        <f>Výdavky!M9</f>
        <v>1037286</v>
      </c>
      <c r="I6" s="29">
        <f>Výdavky!N9</f>
        <v>-5900</v>
      </c>
      <c r="J6" s="29">
        <f t="shared" si="3"/>
        <v>1031386</v>
      </c>
      <c r="K6" s="29"/>
      <c r="L6" s="29">
        <f t="shared" si="0"/>
        <v>2115495</v>
      </c>
      <c r="M6" s="29">
        <f>E6+I6</f>
        <v>700</v>
      </c>
      <c r="N6" s="29">
        <f t="shared" si="4"/>
        <v>2116195</v>
      </c>
    </row>
    <row r="7" spans="2:14" ht="14.25" x14ac:dyDescent="0.2">
      <c r="B7" s="24">
        <v>4</v>
      </c>
      <c r="C7" s="28" t="s">
        <v>26</v>
      </c>
      <c r="D7" s="29">
        <f>Výdavky!I79</f>
        <v>146040</v>
      </c>
      <c r="E7" s="29">
        <f>Výdavky!J79</f>
        <v>0</v>
      </c>
      <c r="F7" s="29">
        <f t="shared" si="2"/>
        <v>146040</v>
      </c>
      <c r="G7" s="29"/>
      <c r="H7" s="29">
        <f>Výdavky!M79</f>
        <v>0</v>
      </c>
      <c r="I7" s="29">
        <f>Výdavky!N79</f>
        <v>0</v>
      </c>
      <c r="J7" s="29">
        <f t="shared" si="3"/>
        <v>0</v>
      </c>
      <c r="K7" s="29"/>
      <c r="L7" s="29">
        <f t="shared" si="0"/>
        <v>146040</v>
      </c>
      <c r="M7" s="29">
        <f t="shared" si="1"/>
        <v>0</v>
      </c>
      <c r="N7" s="29">
        <f t="shared" si="4"/>
        <v>146040</v>
      </c>
    </row>
    <row r="8" spans="2:14" ht="14.25" x14ac:dyDescent="0.2">
      <c r="B8" s="24">
        <v>5</v>
      </c>
      <c r="C8" s="28" t="s">
        <v>27</v>
      </c>
      <c r="D8" s="29">
        <f>Výdavky!I101</f>
        <v>7276625</v>
      </c>
      <c r="E8" s="29">
        <f>Výdavky!J101</f>
        <v>53900</v>
      </c>
      <c r="F8" s="29">
        <f t="shared" si="2"/>
        <v>7330525</v>
      </c>
      <c r="G8" s="29"/>
      <c r="H8" s="29">
        <f>Výdavky!M101</f>
        <v>3401581</v>
      </c>
      <c r="I8" s="29">
        <f>Výdavky!N101</f>
        <v>532600</v>
      </c>
      <c r="J8" s="29">
        <f t="shared" si="3"/>
        <v>3934181</v>
      </c>
      <c r="K8" s="29"/>
      <c r="L8" s="29">
        <f t="shared" si="0"/>
        <v>10678206</v>
      </c>
      <c r="M8" s="29">
        <f t="shared" si="1"/>
        <v>586500</v>
      </c>
      <c r="N8" s="29">
        <f t="shared" si="4"/>
        <v>11264706</v>
      </c>
    </row>
    <row r="9" spans="2:14" ht="14.25" x14ac:dyDescent="0.2">
      <c r="B9" s="24">
        <v>6</v>
      </c>
      <c r="C9" s="28" t="s">
        <v>28</v>
      </c>
      <c r="D9" s="29">
        <f>Výdavky!I193</f>
        <v>955055</v>
      </c>
      <c r="E9" s="29">
        <f>Výdavky!J193</f>
        <v>55040</v>
      </c>
      <c r="F9" s="29">
        <f t="shared" si="2"/>
        <v>1010095</v>
      </c>
      <c r="G9" s="29"/>
      <c r="H9" s="29">
        <f>Výdavky!M193</f>
        <v>310560</v>
      </c>
      <c r="I9" s="29">
        <f>Výdavky!N193</f>
        <v>6500</v>
      </c>
      <c r="J9" s="29">
        <f t="shared" si="3"/>
        <v>317060</v>
      </c>
      <c r="K9" s="29"/>
      <c r="L9" s="29">
        <f t="shared" si="0"/>
        <v>1265615</v>
      </c>
      <c r="M9" s="29">
        <f t="shared" si="1"/>
        <v>61540</v>
      </c>
      <c r="N9" s="29">
        <f t="shared" si="4"/>
        <v>1327155</v>
      </c>
    </row>
    <row r="10" spans="2:14" ht="14.25" x14ac:dyDescent="0.2">
      <c r="B10" s="24">
        <v>7</v>
      </c>
      <c r="C10" s="28" t="s">
        <v>416</v>
      </c>
      <c r="D10" s="29">
        <f>Výdavky!I271</f>
        <v>2675449</v>
      </c>
      <c r="E10" s="29">
        <f>Výdavky!J271</f>
        <v>49550</v>
      </c>
      <c r="F10" s="29">
        <f t="shared" si="2"/>
        <v>2724999</v>
      </c>
      <c r="G10" s="29"/>
      <c r="H10" s="29">
        <f>Výdavky!M271</f>
        <v>15018400</v>
      </c>
      <c r="I10" s="29">
        <f>Výdavky!N271</f>
        <v>164700</v>
      </c>
      <c r="J10" s="29">
        <f t="shared" si="3"/>
        <v>15183100</v>
      </c>
      <c r="K10" s="29"/>
      <c r="L10" s="29">
        <f t="shared" si="0"/>
        <v>17693849</v>
      </c>
      <c r="M10" s="29">
        <f t="shared" si="1"/>
        <v>214250</v>
      </c>
      <c r="N10" s="29">
        <f t="shared" si="4"/>
        <v>17908099</v>
      </c>
    </row>
    <row r="11" spans="2:14" ht="14.25" x14ac:dyDescent="0.2">
      <c r="B11" s="24">
        <v>8</v>
      </c>
      <c r="C11" s="28" t="s">
        <v>29</v>
      </c>
      <c r="D11" s="29">
        <f>Výdavky!I343</f>
        <v>7144256</v>
      </c>
      <c r="E11" s="29">
        <f>Výdavky!J343</f>
        <v>113550</v>
      </c>
      <c r="F11" s="29">
        <f t="shared" si="2"/>
        <v>7257806</v>
      </c>
      <c r="G11" s="29"/>
      <c r="H11" s="29">
        <f>Výdavky!M343</f>
        <v>2399933</v>
      </c>
      <c r="I11" s="29">
        <f>Výdavky!N343</f>
        <v>1232000</v>
      </c>
      <c r="J11" s="29">
        <f t="shared" si="3"/>
        <v>3631933</v>
      </c>
      <c r="K11" s="29"/>
      <c r="L11" s="29">
        <f t="shared" si="0"/>
        <v>9544189</v>
      </c>
      <c r="M11" s="29">
        <f t="shared" si="1"/>
        <v>1345550</v>
      </c>
      <c r="N11" s="29">
        <f t="shared" si="4"/>
        <v>10889739</v>
      </c>
    </row>
    <row r="12" spans="2:14" ht="14.25" x14ac:dyDescent="0.2">
      <c r="B12" s="24">
        <v>9</v>
      </c>
      <c r="C12" s="28" t="s">
        <v>415</v>
      </c>
      <c r="D12" s="29">
        <f>Výdavky!I452</f>
        <v>34680464</v>
      </c>
      <c r="E12" s="29">
        <f>Výdavky!J452</f>
        <v>337539</v>
      </c>
      <c r="F12" s="29">
        <f t="shared" si="2"/>
        <v>35018003</v>
      </c>
      <c r="G12" s="29"/>
      <c r="H12" s="29">
        <f>Výdavky!M452</f>
        <v>2142810</v>
      </c>
      <c r="I12" s="29">
        <f>Výdavky!N452</f>
        <v>384335</v>
      </c>
      <c r="J12" s="29">
        <f t="shared" si="3"/>
        <v>2527145</v>
      </c>
      <c r="K12" s="29"/>
      <c r="L12" s="29">
        <f t="shared" si="0"/>
        <v>36823274</v>
      </c>
      <c r="M12" s="29">
        <f t="shared" si="1"/>
        <v>721874</v>
      </c>
      <c r="N12" s="29">
        <f t="shared" si="4"/>
        <v>37545148</v>
      </c>
    </row>
    <row r="13" spans="2:14" ht="14.25" x14ac:dyDescent="0.2">
      <c r="B13" s="24">
        <v>10</v>
      </c>
      <c r="C13" s="28" t="s">
        <v>414</v>
      </c>
      <c r="D13" s="29">
        <f>Výdavky!I1267</f>
        <v>3088445</v>
      </c>
      <c r="E13" s="29">
        <f>Výdavky!J1267</f>
        <v>15500</v>
      </c>
      <c r="F13" s="29">
        <f t="shared" si="2"/>
        <v>3103945</v>
      </c>
      <c r="G13" s="29"/>
      <c r="H13" s="29">
        <f>Výdavky!M1267</f>
        <v>49738317</v>
      </c>
      <c r="I13" s="29">
        <f>Výdavky!N1267</f>
        <v>-234700</v>
      </c>
      <c r="J13" s="29">
        <f t="shared" si="3"/>
        <v>49503617</v>
      </c>
      <c r="K13" s="29"/>
      <c r="L13" s="29">
        <f t="shared" si="0"/>
        <v>52826762</v>
      </c>
      <c r="M13" s="29">
        <f t="shared" si="1"/>
        <v>-219200</v>
      </c>
      <c r="N13" s="29">
        <f t="shared" si="4"/>
        <v>52607562</v>
      </c>
    </row>
    <row r="14" spans="2:14" ht="14.25" x14ac:dyDescent="0.2">
      <c r="B14" s="24">
        <v>11</v>
      </c>
      <c r="C14" s="28" t="s">
        <v>30</v>
      </c>
      <c r="D14" s="29">
        <f>Výdavky!I1395</f>
        <v>2818650</v>
      </c>
      <c r="E14" s="29">
        <f>Výdavky!J1395</f>
        <v>100000</v>
      </c>
      <c r="F14" s="29">
        <f t="shared" si="2"/>
        <v>2918650</v>
      </c>
      <c r="G14" s="29"/>
      <c r="H14" s="29">
        <f>Výdavky!M1395</f>
        <v>8371139</v>
      </c>
      <c r="I14" s="29">
        <f>Výdavky!N1395</f>
        <v>255256</v>
      </c>
      <c r="J14" s="29">
        <f t="shared" si="3"/>
        <v>8626395</v>
      </c>
      <c r="K14" s="29"/>
      <c r="L14" s="29">
        <f t="shared" si="0"/>
        <v>11189789</v>
      </c>
      <c r="M14" s="29">
        <f t="shared" si="1"/>
        <v>355256</v>
      </c>
      <c r="N14" s="29">
        <f t="shared" si="4"/>
        <v>11545045</v>
      </c>
    </row>
    <row r="15" spans="2:14" ht="14.25" x14ac:dyDescent="0.2">
      <c r="B15" s="24">
        <v>12</v>
      </c>
      <c r="C15" s="28" t="s">
        <v>31</v>
      </c>
      <c r="D15" s="29">
        <f>Výdavky!I1468</f>
        <v>5693545</v>
      </c>
      <c r="E15" s="29">
        <f>Výdavky!J1468</f>
        <v>-32000</v>
      </c>
      <c r="F15" s="29">
        <f t="shared" si="2"/>
        <v>5661545</v>
      </c>
      <c r="G15" s="29"/>
      <c r="H15" s="29">
        <f>Výdavky!M1468</f>
        <v>842500</v>
      </c>
      <c r="I15" s="29">
        <f>Výdavky!N1468</f>
        <v>689700</v>
      </c>
      <c r="J15" s="29">
        <f t="shared" si="3"/>
        <v>1532200</v>
      </c>
      <c r="K15" s="29"/>
      <c r="L15" s="29">
        <f t="shared" si="0"/>
        <v>6536045</v>
      </c>
      <c r="M15" s="29">
        <f t="shared" si="1"/>
        <v>657700</v>
      </c>
      <c r="N15" s="29">
        <f t="shared" si="4"/>
        <v>7193745</v>
      </c>
    </row>
    <row r="16" spans="2:14" ht="14.25" x14ac:dyDescent="0.2">
      <c r="B16" s="24">
        <v>13</v>
      </c>
      <c r="C16" s="28" t="s">
        <v>32</v>
      </c>
      <c r="D16" s="29">
        <f>Výdavky!I1567</f>
        <v>6537150</v>
      </c>
      <c r="E16" s="29">
        <f>Výdavky!J1567</f>
        <v>4850</v>
      </c>
      <c r="F16" s="29">
        <f t="shared" si="2"/>
        <v>6542000</v>
      </c>
      <c r="G16" s="29"/>
      <c r="H16" s="29">
        <f>Výdavky!M1567</f>
        <v>1497510</v>
      </c>
      <c r="I16" s="29">
        <f>Výdavky!N1567</f>
        <v>129000</v>
      </c>
      <c r="J16" s="29">
        <f t="shared" si="3"/>
        <v>1626510</v>
      </c>
      <c r="K16" s="29"/>
      <c r="L16" s="29">
        <f t="shared" si="0"/>
        <v>8034660</v>
      </c>
      <c r="M16" s="29">
        <f t="shared" si="1"/>
        <v>133850</v>
      </c>
      <c r="N16" s="29">
        <f t="shared" si="4"/>
        <v>8168510</v>
      </c>
    </row>
    <row r="17" spans="2:14" ht="14.25" x14ac:dyDescent="0.2">
      <c r="B17" s="24">
        <v>14</v>
      </c>
      <c r="C17" s="28" t="s">
        <v>33</v>
      </c>
      <c r="D17" s="29">
        <f>Výdavky!I1745</f>
        <v>385260</v>
      </c>
      <c r="E17" s="29">
        <f>Výdavky!J1745</f>
        <v>19250</v>
      </c>
      <c r="F17" s="29">
        <f t="shared" si="2"/>
        <v>404510</v>
      </c>
      <c r="G17" s="29"/>
      <c r="H17" s="29">
        <f>Výdavky!M1745</f>
        <v>1650</v>
      </c>
      <c r="I17" s="29">
        <f>Výdavky!N1745</f>
        <v>0</v>
      </c>
      <c r="J17" s="29">
        <f t="shared" si="3"/>
        <v>1650</v>
      </c>
      <c r="K17" s="29"/>
      <c r="L17" s="29">
        <f t="shared" si="0"/>
        <v>386910</v>
      </c>
      <c r="M17" s="29">
        <f t="shared" si="1"/>
        <v>19250</v>
      </c>
      <c r="N17" s="29">
        <f t="shared" si="4"/>
        <v>406160</v>
      </c>
    </row>
    <row r="18" spans="2:14" s="33" customFormat="1" ht="15" x14ac:dyDescent="0.2">
      <c r="B18" s="30">
        <v>15</v>
      </c>
      <c r="C18" s="31" t="s">
        <v>34</v>
      </c>
      <c r="D18" s="32">
        <f>D4-D5</f>
        <v>691224</v>
      </c>
      <c r="E18" s="32">
        <f>E4-E5</f>
        <v>-493879</v>
      </c>
      <c r="F18" s="32">
        <f t="shared" si="2"/>
        <v>197345</v>
      </c>
      <c r="G18" s="32"/>
      <c r="H18" s="31"/>
      <c r="I18" s="31"/>
      <c r="J18" s="31">
        <f t="shared" si="3"/>
        <v>0</v>
      </c>
      <c r="K18" s="31"/>
      <c r="L18" s="31"/>
      <c r="M18" s="31"/>
      <c r="N18" s="31">
        <f t="shared" si="4"/>
        <v>0</v>
      </c>
    </row>
    <row r="19" spans="2:14" s="33" customFormat="1" ht="15" x14ac:dyDescent="0.2">
      <c r="B19" s="30">
        <v>16</v>
      </c>
      <c r="C19" s="31" t="s">
        <v>466</v>
      </c>
      <c r="D19" s="31"/>
      <c r="E19" s="31"/>
      <c r="F19" s="31"/>
      <c r="G19" s="31"/>
      <c r="H19" s="32">
        <f>H4-H5</f>
        <v>-27867682</v>
      </c>
      <c r="I19" s="32">
        <f>I4-I5</f>
        <v>-362237</v>
      </c>
      <c r="J19" s="32">
        <f t="shared" si="3"/>
        <v>-28229919</v>
      </c>
      <c r="K19" s="32"/>
      <c r="L19" s="31"/>
      <c r="M19" s="31"/>
      <c r="N19" s="31">
        <f t="shared" si="4"/>
        <v>0</v>
      </c>
    </row>
    <row r="20" spans="2:14" s="33" customFormat="1" ht="15" x14ac:dyDescent="0.2">
      <c r="B20" s="34">
        <v>17</v>
      </c>
      <c r="C20" s="35" t="s">
        <v>525</v>
      </c>
      <c r="D20" s="35"/>
      <c r="E20" s="35"/>
      <c r="F20" s="35"/>
      <c r="G20" s="35"/>
      <c r="H20" s="35"/>
      <c r="I20" s="35"/>
      <c r="J20" s="35"/>
      <c r="K20" s="35"/>
      <c r="L20" s="36">
        <f>L4-L5</f>
        <v>-27176458</v>
      </c>
      <c r="M20" s="36">
        <f>M4-M5</f>
        <v>-856116</v>
      </c>
      <c r="N20" s="36">
        <f t="shared" si="4"/>
        <v>-28032574</v>
      </c>
    </row>
    <row r="21" spans="2:14" ht="15" customHeight="1" x14ac:dyDescent="0.2"/>
    <row r="22" spans="2:14" ht="15" x14ac:dyDescent="0.2">
      <c r="B22" s="484" t="s">
        <v>110</v>
      </c>
      <c r="C22" s="485"/>
      <c r="D22" s="485"/>
      <c r="E22" s="485"/>
      <c r="F22" s="485"/>
      <c r="G22" s="485"/>
      <c r="H22" s="485"/>
      <c r="I22" s="485"/>
      <c r="J22" s="485"/>
      <c r="K22" s="485"/>
      <c r="L22" s="485"/>
      <c r="M22" s="485"/>
      <c r="N22" s="485"/>
    </row>
    <row r="23" spans="2:14" s="27" customFormat="1" ht="15" x14ac:dyDescent="0.25">
      <c r="B23" s="24">
        <v>1</v>
      </c>
      <c r="C23" s="476" t="s">
        <v>35</v>
      </c>
      <c r="D23" s="477"/>
      <c r="E23" s="477"/>
      <c r="F23" s="477"/>
      <c r="G23" s="477"/>
      <c r="H23" s="477"/>
      <c r="I23" s="37"/>
      <c r="J23" s="37"/>
      <c r="K23" s="37"/>
      <c r="L23" s="38">
        <f>SUM(L24:L31)</f>
        <v>29929158</v>
      </c>
      <c r="M23" s="38">
        <f>SUM(M24:M31)</f>
        <v>713416</v>
      </c>
      <c r="N23" s="38">
        <f t="shared" ref="N23:N35" si="5">L23+M23</f>
        <v>30642574</v>
      </c>
    </row>
    <row r="24" spans="2:14" x14ac:dyDescent="0.2">
      <c r="B24" s="24">
        <f>B23+1</f>
        <v>2</v>
      </c>
      <c r="C24" s="479" t="s">
        <v>671</v>
      </c>
      <c r="D24" s="479"/>
      <c r="E24" s="479"/>
      <c r="F24" s="479"/>
      <c r="G24" s="479"/>
      <c r="H24" s="479"/>
      <c r="I24" s="28"/>
      <c r="J24" s="28"/>
      <c r="K24" s="28"/>
      <c r="L24" s="39">
        <f>2925000-116000+15800</f>
        <v>2824800</v>
      </c>
      <c r="M24" s="39">
        <f>1007264+284000</f>
        <v>1291264</v>
      </c>
      <c r="N24" s="39">
        <f t="shared" si="5"/>
        <v>4116064</v>
      </c>
    </row>
    <row r="25" spans="2:14" x14ac:dyDescent="0.2">
      <c r="B25" s="24">
        <f t="shared" ref="B25:B35" si="6">B24+1</f>
        <v>3</v>
      </c>
      <c r="C25" s="479" t="s">
        <v>515</v>
      </c>
      <c r="D25" s="479"/>
      <c r="E25" s="479"/>
      <c r="F25" s="479"/>
      <c r="G25" s="479"/>
      <c r="H25" s="479"/>
      <c r="I25" s="28"/>
      <c r="J25" s="28"/>
      <c r="K25" s="28"/>
      <c r="L25" s="39">
        <v>381000</v>
      </c>
      <c r="M25" s="39"/>
      <c r="N25" s="39">
        <f t="shared" si="5"/>
        <v>381000</v>
      </c>
    </row>
    <row r="26" spans="2:14" x14ac:dyDescent="0.2">
      <c r="B26" s="24">
        <f t="shared" si="6"/>
        <v>4</v>
      </c>
      <c r="C26" s="28" t="s">
        <v>575</v>
      </c>
      <c r="D26" s="28"/>
      <c r="E26" s="28"/>
      <c r="F26" s="28"/>
      <c r="G26" s="28"/>
      <c r="H26" s="28"/>
      <c r="I26" s="28"/>
      <c r="J26" s="28"/>
      <c r="K26" s="28"/>
      <c r="L26" s="39">
        <v>127189</v>
      </c>
      <c r="M26" s="39"/>
      <c r="N26" s="39">
        <f t="shared" si="5"/>
        <v>127189</v>
      </c>
    </row>
    <row r="27" spans="2:14" x14ac:dyDescent="0.2">
      <c r="B27" s="24">
        <f t="shared" si="6"/>
        <v>5</v>
      </c>
      <c r="C27" s="28" t="s">
        <v>601</v>
      </c>
      <c r="D27" s="28"/>
      <c r="E27" s="28"/>
      <c r="F27" s="28"/>
      <c r="G27" s="28"/>
      <c r="H27" s="28"/>
      <c r="I27" s="28"/>
      <c r="J27" s="28"/>
      <c r="K27" s="28"/>
      <c r="L27" s="39">
        <v>0</v>
      </c>
      <c r="M27" s="39">
        <f>1406937+39</f>
        <v>1406976</v>
      </c>
      <c r="N27" s="39">
        <f t="shared" si="5"/>
        <v>1406976</v>
      </c>
    </row>
    <row r="28" spans="2:14" x14ac:dyDescent="0.2">
      <c r="B28" s="24">
        <f t="shared" si="6"/>
        <v>6</v>
      </c>
      <c r="C28" s="28" t="s">
        <v>629</v>
      </c>
      <c r="D28" s="28"/>
      <c r="E28" s="28"/>
      <c r="F28" s="28"/>
      <c r="G28" s="28"/>
      <c r="H28" s="28"/>
      <c r="I28" s="28"/>
      <c r="J28" s="28"/>
      <c r="K28" s="28"/>
      <c r="L28" s="39">
        <v>0</v>
      </c>
      <c r="M28" s="39">
        <v>15176</v>
      </c>
      <c r="N28" s="39">
        <f t="shared" si="5"/>
        <v>15176</v>
      </c>
    </row>
    <row r="29" spans="2:14" x14ac:dyDescent="0.2">
      <c r="B29" s="24">
        <f t="shared" si="6"/>
        <v>7</v>
      </c>
      <c r="C29" s="479" t="s">
        <v>354</v>
      </c>
      <c r="D29" s="479"/>
      <c r="E29" s="479"/>
      <c r="F29" s="479"/>
      <c r="G29" s="479"/>
      <c r="H29" s="479"/>
      <c r="I29" s="28"/>
      <c r="J29" s="28"/>
      <c r="K29" s="28"/>
      <c r="L29" s="39">
        <v>5000000</v>
      </c>
      <c r="M29" s="39">
        <v>-2000000</v>
      </c>
      <c r="N29" s="39">
        <f t="shared" si="5"/>
        <v>3000000</v>
      </c>
    </row>
    <row r="30" spans="2:14" x14ac:dyDescent="0.2">
      <c r="B30" s="24">
        <f t="shared" si="6"/>
        <v>8</v>
      </c>
      <c r="C30" s="40" t="s">
        <v>484</v>
      </c>
      <c r="D30" s="41"/>
      <c r="E30" s="42"/>
      <c r="F30" s="42"/>
      <c r="G30" s="42"/>
      <c r="H30" s="42"/>
      <c r="I30" s="42"/>
      <c r="J30" s="42"/>
      <c r="K30" s="42"/>
      <c r="L30" s="39">
        <f>4222065+1090528+986386+342190+5000</f>
        <v>6646169</v>
      </c>
      <c r="M30" s="39"/>
      <c r="N30" s="39">
        <f t="shared" si="5"/>
        <v>6646169</v>
      </c>
    </row>
    <row r="31" spans="2:14" x14ac:dyDescent="0.2">
      <c r="B31" s="24">
        <f t="shared" si="6"/>
        <v>9</v>
      </c>
      <c r="C31" s="40" t="s">
        <v>427</v>
      </c>
      <c r="D31" s="41"/>
      <c r="E31" s="42"/>
      <c r="F31" s="42"/>
      <c r="G31" s="42"/>
      <c r="L31" s="39">
        <f>148000+6440000+8362000</f>
        <v>14950000</v>
      </c>
      <c r="M31" s="39"/>
      <c r="N31" s="39">
        <f t="shared" si="5"/>
        <v>14950000</v>
      </c>
    </row>
    <row r="32" spans="2:14" s="27" customFormat="1" ht="15" x14ac:dyDescent="0.25">
      <c r="B32" s="24">
        <f t="shared" si="6"/>
        <v>10</v>
      </c>
      <c r="C32" s="476" t="s">
        <v>353</v>
      </c>
      <c r="D32" s="477"/>
      <c r="E32" s="477"/>
      <c r="F32" s="477"/>
      <c r="G32" s="477"/>
      <c r="H32" s="477"/>
      <c r="I32" s="37"/>
      <c r="J32" s="37"/>
      <c r="K32" s="37"/>
      <c r="L32" s="38">
        <f>L33+L34</f>
        <v>2610000</v>
      </c>
      <c r="M32" s="38">
        <f>M33+M34</f>
        <v>0</v>
      </c>
      <c r="N32" s="38">
        <f t="shared" si="5"/>
        <v>2610000</v>
      </c>
    </row>
    <row r="33" spans="2:14" x14ac:dyDescent="0.2">
      <c r="B33" s="24">
        <f t="shared" si="6"/>
        <v>11</v>
      </c>
      <c r="C33" s="478" t="s">
        <v>355</v>
      </c>
      <c r="D33" s="479"/>
      <c r="E33" s="479"/>
      <c r="F33" s="479"/>
      <c r="G33" s="479"/>
      <c r="H33" s="479"/>
      <c r="I33" s="28"/>
      <c r="J33" s="28"/>
      <c r="K33" s="28"/>
      <c r="L33" s="39">
        <v>2505000</v>
      </c>
      <c r="M33" s="39"/>
      <c r="N33" s="39">
        <f t="shared" si="5"/>
        <v>2505000</v>
      </c>
    </row>
    <row r="34" spans="2:14" x14ac:dyDescent="0.2">
      <c r="B34" s="24">
        <f t="shared" si="6"/>
        <v>12</v>
      </c>
      <c r="C34" s="480" t="s">
        <v>356</v>
      </c>
      <c r="D34" s="481"/>
      <c r="E34" s="481"/>
      <c r="F34" s="481"/>
      <c r="G34" s="481"/>
      <c r="H34" s="481"/>
      <c r="I34" s="43"/>
      <c r="J34" s="43"/>
      <c r="K34" s="43"/>
      <c r="L34" s="39">
        <v>105000</v>
      </c>
      <c r="M34" s="39"/>
      <c r="N34" s="39">
        <f t="shared" si="5"/>
        <v>105000</v>
      </c>
    </row>
    <row r="35" spans="2:14" s="33" customFormat="1" ht="25.5" customHeight="1" x14ac:dyDescent="0.2">
      <c r="B35" s="24">
        <f t="shared" si="6"/>
        <v>13</v>
      </c>
      <c r="C35" s="474" t="s">
        <v>36</v>
      </c>
      <c r="D35" s="475"/>
      <c r="E35" s="475"/>
      <c r="F35" s="475"/>
      <c r="G35" s="475"/>
      <c r="H35" s="475"/>
      <c r="I35" s="44"/>
      <c r="J35" s="44"/>
      <c r="K35" s="44"/>
      <c r="L35" s="45">
        <f>L20+L23-L32</f>
        <v>142700</v>
      </c>
      <c r="M35" s="45">
        <f>M20+M23-M32</f>
        <v>-142700</v>
      </c>
      <c r="N35" s="45">
        <f t="shared" si="5"/>
        <v>0</v>
      </c>
    </row>
    <row r="36" spans="2:14" s="46" customFormat="1" x14ac:dyDescent="0.2"/>
    <row r="37" spans="2:14" s="46" customFormat="1" x14ac:dyDescent="0.2">
      <c r="L37" s="47"/>
    </row>
    <row r="38" spans="2:14" s="46" customFormat="1" x14ac:dyDescent="0.2"/>
    <row r="39" spans="2:14" s="46" customFormat="1" x14ac:dyDescent="0.2"/>
    <row r="40" spans="2:14" s="46" customFormat="1" x14ac:dyDescent="0.2"/>
    <row r="41" spans="2:14" s="46" customFormat="1" x14ac:dyDescent="0.2"/>
    <row r="42" spans="2:14" s="46" customFormat="1" x14ac:dyDescent="0.2"/>
    <row r="43" spans="2:14" s="46" customFormat="1" x14ac:dyDescent="0.2"/>
    <row r="44" spans="2:14" s="46" customFormat="1" x14ac:dyDescent="0.2"/>
    <row r="45" spans="2:14" s="46" customFormat="1" x14ac:dyDescent="0.2"/>
    <row r="46" spans="2:14" s="46" customFormat="1" x14ac:dyDescent="0.2"/>
    <row r="47" spans="2:14" s="46" customFormat="1" x14ac:dyDescent="0.2"/>
    <row r="48" spans="2:14" s="46" customFormat="1" x14ac:dyDescent="0.2"/>
    <row r="49" s="46" customFormat="1" x14ac:dyDescent="0.2"/>
    <row r="50" s="46" customFormat="1" x14ac:dyDescent="0.2"/>
    <row r="51" s="46" customFormat="1" x14ac:dyDescent="0.2"/>
    <row r="52" s="46" customFormat="1" x14ac:dyDescent="0.2"/>
    <row r="53" s="46" customFormat="1" x14ac:dyDescent="0.2"/>
    <row r="54" s="46" customFormat="1" x14ac:dyDescent="0.2"/>
    <row r="55" s="46" customFormat="1" x14ac:dyDescent="0.2"/>
    <row r="56" s="46" customFormat="1" x14ac:dyDescent="0.2"/>
    <row r="57" s="46" customFormat="1" x14ac:dyDescent="0.2"/>
    <row r="58" s="46" customFormat="1" x14ac:dyDescent="0.2"/>
    <row r="59" s="46" customFormat="1" x14ac:dyDescent="0.2"/>
    <row r="60" s="46" customFormat="1" x14ac:dyDescent="0.2"/>
    <row r="61" s="46" customFormat="1" x14ac:dyDescent="0.2"/>
    <row r="62" s="46" customFormat="1" x14ac:dyDescent="0.2"/>
    <row r="63" s="46" customFormat="1" x14ac:dyDescent="0.2"/>
    <row r="64" s="46" customFormat="1" x14ac:dyDescent="0.2"/>
    <row r="65" s="46" customFormat="1" x14ac:dyDescent="0.2"/>
    <row r="66" s="46" customFormat="1" x14ac:dyDescent="0.2"/>
    <row r="67" s="46" customFormat="1" x14ac:dyDescent="0.2"/>
    <row r="68" s="46" customFormat="1" x14ac:dyDescent="0.2"/>
    <row r="69" s="46" customFormat="1" x14ac:dyDescent="0.2"/>
    <row r="70" s="46" customFormat="1" x14ac:dyDescent="0.2"/>
    <row r="71" s="46" customFormat="1" x14ac:dyDescent="0.2"/>
    <row r="72" s="46" customFormat="1" x14ac:dyDescent="0.2"/>
    <row r="73" s="46" customFormat="1" x14ac:dyDescent="0.2"/>
    <row r="74" s="46" customFormat="1" x14ac:dyDescent="0.2"/>
    <row r="75" s="46" customFormat="1" x14ac:dyDescent="0.2"/>
    <row r="76" s="46" customFormat="1" x14ac:dyDescent="0.2"/>
    <row r="77" s="46" customFormat="1" x14ac:dyDescent="0.2"/>
    <row r="78" s="46" customFormat="1" x14ac:dyDescent="0.2"/>
    <row r="79" s="46" customFormat="1" x14ac:dyDescent="0.2"/>
    <row r="80" s="46" customFormat="1" x14ac:dyDescent="0.2"/>
    <row r="81" s="46" customFormat="1" x14ac:dyDescent="0.2"/>
    <row r="82" s="46" customFormat="1" x14ac:dyDescent="0.2"/>
    <row r="83" s="46" customFormat="1" x14ac:dyDescent="0.2"/>
    <row r="84" s="46" customFormat="1" x14ac:dyDescent="0.2"/>
    <row r="85" s="46" customFormat="1" x14ac:dyDescent="0.2"/>
    <row r="86" s="46" customFormat="1" x14ac:dyDescent="0.2"/>
    <row r="87" s="46" customFormat="1" x14ac:dyDescent="0.2"/>
    <row r="88" s="46" customFormat="1" x14ac:dyDescent="0.2"/>
    <row r="89" s="46" customFormat="1" x14ac:dyDescent="0.2"/>
    <row r="90" s="46" customFormat="1" x14ac:dyDescent="0.2"/>
    <row r="91" s="46" customFormat="1" x14ac:dyDescent="0.2"/>
    <row r="92" s="46" customFormat="1" x14ac:dyDescent="0.2"/>
    <row r="93" s="46" customFormat="1" x14ac:dyDescent="0.2"/>
    <row r="94" s="46" customFormat="1" x14ac:dyDescent="0.2"/>
    <row r="95" s="46" customFormat="1" x14ac:dyDescent="0.2"/>
    <row r="96" s="46" customFormat="1" x14ac:dyDescent="0.2"/>
    <row r="97" s="46" customFormat="1" x14ac:dyDescent="0.2"/>
    <row r="98" s="46" customFormat="1" x14ac:dyDescent="0.2"/>
    <row r="99" s="46" customFormat="1" x14ac:dyDescent="0.2"/>
    <row r="100" s="46" customFormat="1" x14ac:dyDescent="0.2"/>
    <row r="101" s="46" customFormat="1" x14ac:dyDescent="0.2"/>
    <row r="102" s="46" customFormat="1" x14ac:dyDescent="0.2"/>
    <row r="103" s="46" customFormat="1" x14ac:dyDescent="0.2"/>
    <row r="104" s="46" customFormat="1" x14ac:dyDescent="0.2"/>
    <row r="105" s="46" customFormat="1" x14ac:dyDescent="0.2"/>
    <row r="106" s="46" customFormat="1" x14ac:dyDescent="0.2"/>
    <row r="107" s="46" customFormat="1" x14ac:dyDescent="0.2"/>
    <row r="108" s="46" customFormat="1" x14ac:dyDescent="0.2"/>
    <row r="109" s="46" customFormat="1" x14ac:dyDescent="0.2"/>
    <row r="110" s="46" customFormat="1" x14ac:dyDescent="0.2"/>
    <row r="111" s="46" customFormat="1" x14ac:dyDescent="0.2"/>
    <row r="112" s="46" customFormat="1" x14ac:dyDescent="0.2"/>
    <row r="113" s="46" customFormat="1" x14ac:dyDescent="0.2"/>
    <row r="114" s="46" customFormat="1" x14ac:dyDescent="0.2"/>
    <row r="115" s="46" customFormat="1" x14ac:dyDescent="0.2"/>
    <row r="116" s="46" customFormat="1" x14ac:dyDescent="0.2"/>
    <row r="117" s="46" customFormat="1" x14ac:dyDescent="0.2"/>
    <row r="118" s="46" customFormat="1" x14ac:dyDescent="0.2"/>
    <row r="119" s="46" customFormat="1" x14ac:dyDescent="0.2"/>
    <row r="120" s="46" customFormat="1" x14ac:dyDescent="0.2"/>
    <row r="121" s="46" customFormat="1" x14ac:dyDescent="0.2"/>
    <row r="122" s="46" customFormat="1" x14ac:dyDescent="0.2"/>
    <row r="123" s="46" customFormat="1" x14ac:dyDescent="0.2"/>
    <row r="124" s="46" customFormat="1" x14ac:dyDescent="0.2"/>
    <row r="125" s="46" customFormat="1" x14ac:dyDescent="0.2"/>
    <row r="126" s="46" customFormat="1" x14ac:dyDescent="0.2"/>
    <row r="127" s="46" customFormat="1" x14ac:dyDescent="0.2"/>
    <row r="128" s="46" customFormat="1" x14ac:dyDescent="0.2"/>
    <row r="129" s="46" customFormat="1" x14ac:dyDescent="0.2"/>
    <row r="130" s="46" customFormat="1" x14ac:dyDescent="0.2"/>
    <row r="131" s="46" customFormat="1" x14ac:dyDescent="0.2"/>
    <row r="132" s="46" customFormat="1" x14ac:dyDescent="0.2"/>
    <row r="133" s="46" customFormat="1" x14ac:dyDescent="0.2"/>
    <row r="134" s="46" customFormat="1" x14ac:dyDescent="0.2"/>
    <row r="135" s="46" customFormat="1" x14ac:dyDescent="0.2"/>
    <row r="136" s="46" customFormat="1" x14ac:dyDescent="0.2"/>
    <row r="137" s="46" customFormat="1" x14ac:dyDescent="0.2"/>
    <row r="138" s="46" customFormat="1" x14ac:dyDescent="0.2"/>
    <row r="139" s="46" customFormat="1" x14ac:dyDescent="0.2"/>
    <row r="140" s="46" customFormat="1" x14ac:dyDescent="0.2"/>
    <row r="141" s="46" customFormat="1" x14ac:dyDescent="0.2"/>
    <row r="142" s="46" customFormat="1" x14ac:dyDescent="0.2"/>
    <row r="143" s="46" customFormat="1" x14ac:dyDescent="0.2"/>
    <row r="144" s="46" customFormat="1" x14ac:dyDescent="0.2"/>
    <row r="145" s="46" customFormat="1" x14ac:dyDescent="0.2"/>
    <row r="146" s="46" customFormat="1" x14ac:dyDescent="0.2"/>
    <row r="147" s="46" customFormat="1" x14ac:dyDescent="0.2"/>
    <row r="148" s="46" customFormat="1" x14ac:dyDescent="0.2"/>
    <row r="149" s="46" customFormat="1" x14ac:dyDescent="0.2"/>
    <row r="150" s="46" customFormat="1" x14ac:dyDescent="0.2"/>
    <row r="151" s="46" customFormat="1" x14ac:dyDescent="0.2"/>
    <row r="152" s="46" customFormat="1" x14ac:dyDescent="0.2"/>
    <row r="153" s="46" customFormat="1" x14ac:dyDescent="0.2"/>
    <row r="154" s="46" customFormat="1" x14ac:dyDescent="0.2"/>
    <row r="155" s="46" customFormat="1" x14ac:dyDescent="0.2"/>
    <row r="156" s="46" customFormat="1" x14ac:dyDescent="0.2"/>
    <row r="157" s="46" customFormat="1" x14ac:dyDescent="0.2"/>
    <row r="158" s="46" customFormat="1" x14ac:dyDescent="0.2"/>
    <row r="159" s="46" customFormat="1" x14ac:dyDescent="0.2"/>
    <row r="160" s="46" customFormat="1" x14ac:dyDescent="0.2"/>
    <row r="161" s="46" customFormat="1" x14ac:dyDescent="0.2"/>
    <row r="162" s="46" customFormat="1" x14ac:dyDescent="0.2"/>
    <row r="163" s="46" customFormat="1" x14ac:dyDescent="0.2"/>
    <row r="164" s="46" customFormat="1" x14ac:dyDescent="0.2"/>
    <row r="165" s="46" customFormat="1" x14ac:dyDescent="0.2"/>
    <row r="166" s="46" customFormat="1" x14ac:dyDescent="0.2"/>
    <row r="167" s="46" customFormat="1" x14ac:dyDescent="0.2"/>
    <row r="168" s="46" customFormat="1" x14ac:dyDescent="0.2"/>
    <row r="169" s="46" customFormat="1" x14ac:dyDescent="0.2"/>
    <row r="170" s="46" customFormat="1" x14ac:dyDescent="0.2"/>
    <row r="171" s="46" customFormat="1" x14ac:dyDescent="0.2"/>
    <row r="172" s="46" customFormat="1" x14ac:dyDescent="0.2"/>
    <row r="173" s="46" customFormat="1" x14ac:dyDescent="0.2"/>
    <row r="174" s="46" customFormat="1" x14ac:dyDescent="0.2"/>
    <row r="175" s="46" customFormat="1" x14ac:dyDescent="0.2"/>
    <row r="176" s="46" customFormat="1" x14ac:dyDescent="0.2"/>
    <row r="177" s="46" customFormat="1" x14ac:dyDescent="0.2"/>
    <row r="178" s="46" customFormat="1" x14ac:dyDescent="0.2"/>
    <row r="179" s="46" customFormat="1" x14ac:dyDescent="0.2"/>
    <row r="180" s="46" customFormat="1" x14ac:dyDescent="0.2"/>
    <row r="181" s="46" customFormat="1" x14ac:dyDescent="0.2"/>
    <row r="182" s="46" customFormat="1" x14ac:dyDescent="0.2"/>
    <row r="183" s="46" customFormat="1" x14ac:dyDescent="0.2"/>
    <row r="184" s="46" customFormat="1" x14ac:dyDescent="0.2"/>
    <row r="185" s="46" customFormat="1" x14ac:dyDescent="0.2"/>
    <row r="186" s="46" customFormat="1" x14ac:dyDescent="0.2"/>
    <row r="187" s="46" customFormat="1" x14ac:dyDescent="0.2"/>
    <row r="188" s="46" customFormat="1" x14ac:dyDescent="0.2"/>
    <row r="189" s="46" customFormat="1" x14ac:dyDescent="0.2"/>
    <row r="190" s="46" customFormat="1" x14ac:dyDescent="0.2"/>
    <row r="191" s="46" customFormat="1" x14ac:dyDescent="0.2"/>
    <row r="192" s="46" customFormat="1" x14ac:dyDescent="0.2"/>
    <row r="193" s="46" customFormat="1" x14ac:dyDescent="0.2"/>
    <row r="194" s="46" customFormat="1" x14ac:dyDescent="0.2"/>
    <row r="195" s="46" customFormat="1" x14ac:dyDescent="0.2"/>
    <row r="196" s="46" customFormat="1" x14ac:dyDescent="0.2"/>
    <row r="197" s="46" customFormat="1" x14ac:dyDescent="0.2"/>
    <row r="198" s="46" customFormat="1" x14ac:dyDescent="0.2"/>
    <row r="199" s="46" customFormat="1" x14ac:dyDescent="0.2"/>
    <row r="200" s="46" customFormat="1" x14ac:dyDescent="0.2"/>
    <row r="201" s="46" customFormat="1" x14ac:dyDescent="0.2"/>
    <row r="202" s="46" customFormat="1" x14ac:dyDescent="0.2"/>
    <row r="203" s="46" customFormat="1" x14ac:dyDescent="0.2"/>
    <row r="204" s="46" customFormat="1" x14ac:dyDescent="0.2"/>
    <row r="205" s="46" customFormat="1" x14ac:dyDescent="0.2"/>
    <row r="206" s="46" customFormat="1" x14ac:dyDescent="0.2"/>
    <row r="207" s="46" customFormat="1" x14ac:dyDescent="0.2"/>
    <row r="208" s="46" customFormat="1" x14ac:dyDescent="0.2"/>
    <row r="209" s="46" customFormat="1" x14ac:dyDescent="0.2"/>
    <row r="210" s="46" customFormat="1" x14ac:dyDescent="0.2"/>
    <row r="211" s="46" customFormat="1" x14ac:dyDescent="0.2"/>
    <row r="212" s="46" customFormat="1" x14ac:dyDescent="0.2"/>
    <row r="213" s="46" customFormat="1" x14ac:dyDescent="0.2"/>
    <row r="214" s="46" customFormat="1" x14ac:dyDescent="0.2"/>
    <row r="215" s="46" customFormat="1" x14ac:dyDescent="0.2"/>
    <row r="216" s="46" customFormat="1" x14ac:dyDescent="0.2"/>
    <row r="217" s="46" customFormat="1" x14ac:dyDescent="0.2"/>
    <row r="218" s="46" customFormat="1" x14ac:dyDescent="0.2"/>
    <row r="219" s="46" customFormat="1" x14ac:dyDescent="0.2"/>
    <row r="220" s="46" customFormat="1" x14ac:dyDescent="0.2"/>
    <row r="221" s="46" customFormat="1" x14ac:dyDescent="0.2"/>
    <row r="222" s="46" customFormat="1" x14ac:dyDescent="0.2"/>
    <row r="223" s="46" customFormat="1" x14ac:dyDescent="0.2"/>
    <row r="224" s="46" customFormat="1" x14ac:dyDescent="0.2"/>
    <row r="225" s="46" customFormat="1" x14ac:dyDescent="0.2"/>
    <row r="226" s="46" customFormat="1" x14ac:dyDescent="0.2"/>
    <row r="227" s="46" customFormat="1" x14ac:dyDescent="0.2"/>
    <row r="228" s="46" customFormat="1" x14ac:dyDescent="0.2"/>
    <row r="229" s="46" customFormat="1" x14ac:dyDescent="0.2"/>
    <row r="230" s="46" customFormat="1" x14ac:dyDescent="0.2"/>
    <row r="231" s="46" customFormat="1" x14ac:dyDescent="0.2"/>
    <row r="232" s="46" customFormat="1" x14ac:dyDescent="0.2"/>
    <row r="233" s="46" customFormat="1" x14ac:dyDescent="0.2"/>
    <row r="234" s="46" customFormat="1" x14ac:dyDescent="0.2"/>
    <row r="235" s="46" customFormat="1" x14ac:dyDescent="0.2"/>
    <row r="236" s="46" customFormat="1" x14ac:dyDescent="0.2"/>
    <row r="237" s="46" customFormat="1" x14ac:dyDescent="0.2"/>
    <row r="238" s="46" customFormat="1" x14ac:dyDescent="0.2"/>
    <row r="239" s="46" customFormat="1" x14ac:dyDescent="0.2"/>
    <row r="240" s="46" customFormat="1" x14ac:dyDescent="0.2"/>
    <row r="241" s="46" customFormat="1" x14ac:dyDescent="0.2"/>
    <row r="242" s="46" customFormat="1" x14ac:dyDescent="0.2"/>
    <row r="243" s="46" customFormat="1" x14ac:dyDescent="0.2"/>
    <row r="244" s="46" customFormat="1" x14ac:dyDescent="0.2"/>
    <row r="245" s="46" customFormat="1" x14ac:dyDescent="0.2"/>
    <row r="246" s="46" customFormat="1" x14ac:dyDescent="0.2"/>
    <row r="247" s="46" customFormat="1" x14ac:dyDescent="0.2"/>
    <row r="248" s="46" customFormat="1" x14ac:dyDescent="0.2"/>
    <row r="249" s="46" customFormat="1" x14ac:dyDescent="0.2"/>
    <row r="250" s="46" customFormat="1" x14ac:dyDescent="0.2"/>
    <row r="251" s="46" customFormat="1" x14ac:dyDescent="0.2"/>
    <row r="252" s="46" customFormat="1" x14ac:dyDescent="0.2"/>
    <row r="253" s="46" customFormat="1" x14ac:dyDescent="0.2"/>
    <row r="254" s="46" customFormat="1" x14ac:dyDescent="0.2"/>
    <row r="255" s="46" customFormat="1" x14ac:dyDescent="0.2"/>
    <row r="256" s="46" customFormat="1" x14ac:dyDescent="0.2"/>
    <row r="257" s="46" customFormat="1" x14ac:dyDescent="0.2"/>
    <row r="258" s="46" customFormat="1" x14ac:dyDescent="0.2"/>
    <row r="259" s="46" customFormat="1" x14ac:dyDescent="0.2"/>
    <row r="260" s="46" customFormat="1" x14ac:dyDescent="0.2"/>
    <row r="261" s="46" customFormat="1" x14ac:dyDescent="0.2"/>
    <row r="262" s="46" customFormat="1" x14ac:dyDescent="0.2"/>
    <row r="263" s="46" customFormat="1" x14ac:dyDescent="0.2"/>
    <row r="264" s="46" customFormat="1" x14ac:dyDescent="0.2"/>
    <row r="265" s="46" customFormat="1" x14ac:dyDescent="0.2"/>
    <row r="266" s="46" customFormat="1" x14ac:dyDescent="0.2"/>
    <row r="267" s="46" customFormat="1" x14ac:dyDescent="0.2"/>
    <row r="268" s="46" customFormat="1" x14ac:dyDescent="0.2"/>
    <row r="269" s="46" customFormat="1" x14ac:dyDescent="0.2"/>
    <row r="270" s="46" customFormat="1" x14ac:dyDescent="0.2"/>
    <row r="271" s="46" customFormat="1" x14ac:dyDescent="0.2"/>
    <row r="272" s="46" customFormat="1" x14ac:dyDescent="0.2"/>
    <row r="273" s="46" customFormat="1" x14ac:dyDescent="0.2"/>
    <row r="274" s="46" customFormat="1" x14ac:dyDescent="0.2"/>
    <row r="275" s="46" customFormat="1" x14ac:dyDescent="0.2"/>
    <row r="276" s="46" customFormat="1" x14ac:dyDescent="0.2"/>
    <row r="277" s="46" customFormat="1" x14ac:dyDescent="0.2"/>
    <row r="278" s="46" customFormat="1" x14ac:dyDescent="0.2"/>
    <row r="279" s="46" customFormat="1" x14ac:dyDescent="0.2"/>
    <row r="280" s="46" customFormat="1" x14ac:dyDescent="0.2"/>
    <row r="281" s="46" customFormat="1" x14ac:dyDescent="0.2"/>
    <row r="282" s="46" customFormat="1" x14ac:dyDescent="0.2"/>
    <row r="283" s="46" customFormat="1" x14ac:dyDescent="0.2"/>
    <row r="284" s="46" customFormat="1" x14ac:dyDescent="0.2"/>
    <row r="285" s="46" customFormat="1" x14ac:dyDescent="0.2"/>
    <row r="286" s="46" customFormat="1" x14ac:dyDescent="0.2"/>
    <row r="287" s="46" customFormat="1" x14ac:dyDescent="0.2"/>
    <row r="288" s="46" customFormat="1" x14ac:dyDescent="0.2"/>
    <row r="289" s="46" customFormat="1" x14ac:dyDescent="0.2"/>
    <row r="290" s="46" customFormat="1" x14ac:dyDescent="0.2"/>
    <row r="291" s="46" customFormat="1" x14ac:dyDescent="0.2"/>
    <row r="292" s="46" customFormat="1" x14ac:dyDescent="0.2"/>
    <row r="293" s="46" customFormat="1" x14ac:dyDescent="0.2"/>
    <row r="294" s="46" customFormat="1" x14ac:dyDescent="0.2"/>
    <row r="295" s="46" customFormat="1" x14ac:dyDescent="0.2"/>
    <row r="296" s="46" customFormat="1" x14ac:dyDescent="0.2"/>
    <row r="297" s="46" customFormat="1" x14ac:dyDescent="0.2"/>
    <row r="298" s="46" customFormat="1" x14ac:dyDescent="0.2"/>
    <row r="299" s="46" customFormat="1" x14ac:dyDescent="0.2"/>
    <row r="300" s="46" customFormat="1" x14ac:dyDescent="0.2"/>
    <row r="301" s="46" customFormat="1" x14ac:dyDescent="0.2"/>
    <row r="302" s="46" customFormat="1" x14ac:dyDescent="0.2"/>
    <row r="303" s="46" customFormat="1" x14ac:dyDescent="0.2"/>
    <row r="304" s="46" customFormat="1" x14ac:dyDescent="0.2"/>
    <row r="305" s="46" customFormat="1" x14ac:dyDescent="0.2"/>
    <row r="306" s="46" customFormat="1" x14ac:dyDescent="0.2"/>
    <row r="307" s="46" customFormat="1" x14ac:dyDescent="0.2"/>
    <row r="308" s="46" customFormat="1" x14ac:dyDescent="0.2"/>
    <row r="309" s="46" customFormat="1" x14ac:dyDescent="0.2"/>
    <row r="310" s="46" customFormat="1" x14ac:dyDescent="0.2"/>
    <row r="311" s="46" customFormat="1" x14ac:dyDescent="0.2"/>
    <row r="312" s="46" customFormat="1" x14ac:dyDescent="0.2"/>
    <row r="313" s="46" customFormat="1" x14ac:dyDescent="0.2"/>
    <row r="314" s="46" customFormat="1" x14ac:dyDescent="0.2"/>
    <row r="315" s="46" customFormat="1" x14ac:dyDescent="0.2"/>
    <row r="316" s="46" customFormat="1" x14ac:dyDescent="0.2"/>
    <row r="317" s="46" customFormat="1" x14ac:dyDescent="0.2"/>
    <row r="318" s="46" customFormat="1" x14ac:dyDescent="0.2"/>
    <row r="319" s="46" customFormat="1" x14ac:dyDescent="0.2"/>
    <row r="320" s="46" customFormat="1" x14ac:dyDescent="0.2"/>
    <row r="321" s="46" customFormat="1" x14ac:dyDescent="0.2"/>
    <row r="322" s="46" customFormat="1" x14ac:dyDescent="0.2"/>
    <row r="323" s="46" customFormat="1" x14ac:dyDescent="0.2"/>
    <row r="324" s="46" customFormat="1" x14ac:dyDescent="0.2"/>
    <row r="325" s="46" customFormat="1" x14ac:dyDescent="0.2"/>
    <row r="326" s="46" customFormat="1" x14ac:dyDescent="0.2"/>
    <row r="327" s="46" customFormat="1" x14ac:dyDescent="0.2"/>
    <row r="328" s="46" customFormat="1" x14ac:dyDescent="0.2"/>
    <row r="329" s="46" customFormat="1" x14ac:dyDescent="0.2"/>
    <row r="330" s="46" customFormat="1" x14ac:dyDescent="0.2"/>
    <row r="331" s="46" customFormat="1" x14ac:dyDescent="0.2"/>
    <row r="332" s="46" customFormat="1" x14ac:dyDescent="0.2"/>
    <row r="333" s="46" customFormat="1" x14ac:dyDescent="0.2"/>
    <row r="334" s="46" customFormat="1" x14ac:dyDescent="0.2"/>
    <row r="335" s="46" customFormat="1" x14ac:dyDescent="0.2"/>
    <row r="336" s="46" customFormat="1" x14ac:dyDescent="0.2"/>
    <row r="337" s="46" customFormat="1" x14ac:dyDescent="0.2"/>
    <row r="338" s="46" customFormat="1" x14ac:dyDescent="0.2"/>
    <row r="339" s="46" customFormat="1" x14ac:dyDescent="0.2"/>
    <row r="340" s="46" customFormat="1" x14ac:dyDescent="0.2"/>
    <row r="341" s="46" customFormat="1" x14ac:dyDescent="0.2"/>
    <row r="342" s="46" customFormat="1" x14ac:dyDescent="0.2"/>
    <row r="343" s="46" customFormat="1" x14ac:dyDescent="0.2"/>
    <row r="344" s="46" customFormat="1" x14ac:dyDescent="0.2"/>
    <row r="345" s="46" customFormat="1" x14ac:dyDescent="0.2"/>
    <row r="346" s="46" customFormat="1" x14ac:dyDescent="0.2"/>
    <row r="347" s="46" customFormat="1" x14ac:dyDescent="0.2"/>
    <row r="348" s="46" customFormat="1" x14ac:dyDescent="0.2"/>
    <row r="349" s="46" customFormat="1" x14ac:dyDescent="0.2"/>
    <row r="350" s="46" customFormat="1" x14ac:dyDescent="0.2"/>
    <row r="351" s="46" customFormat="1" x14ac:dyDescent="0.2"/>
    <row r="352" s="46" customFormat="1" x14ac:dyDescent="0.2"/>
    <row r="353" s="46" customFormat="1" x14ac:dyDescent="0.2"/>
    <row r="354" s="46" customFormat="1" x14ac:dyDescent="0.2"/>
    <row r="355" s="46" customFormat="1" x14ac:dyDescent="0.2"/>
    <row r="356" s="46" customFormat="1" x14ac:dyDescent="0.2"/>
    <row r="357" s="46" customFormat="1" x14ac:dyDescent="0.2"/>
    <row r="358" s="46" customFormat="1" x14ac:dyDescent="0.2"/>
    <row r="359" s="46" customFormat="1" x14ac:dyDescent="0.2"/>
    <row r="360" s="46" customFormat="1" x14ac:dyDescent="0.2"/>
    <row r="361" s="46" customFormat="1" x14ac:dyDescent="0.2"/>
    <row r="362" s="46" customFormat="1" x14ac:dyDescent="0.2"/>
    <row r="363" s="46" customFormat="1" x14ac:dyDescent="0.2"/>
    <row r="364" s="46" customFormat="1" x14ac:dyDescent="0.2"/>
    <row r="365" s="46" customFormat="1" x14ac:dyDescent="0.2"/>
    <row r="366" s="46" customFormat="1" x14ac:dyDescent="0.2"/>
    <row r="367" s="46" customFormat="1" x14ac:dyDescent="0.2"/>
    <row r="368" s="46" customFormat="1" x14ac:dyDescent="0.2"/>
    <row r="369" s="46" customFormat="1" x14ac:dyDescent="0.2"/>
    <row r="370" s="46" customFormat="1" x14ac:dyDescent="0.2"/>
    <row r="371" s="46" customFormat="1" x14ac:dyDescent="0.2"/>
    <row r="372" s="46" customFormat="1" x14ac:dyDescent="0.2"/>
    <row r="373" s="46" customFormat="1" x14ac:dyDescent="0.2"/>
    <row r="374" s="46" customFormat="1" x14ac:dyDescent="0.2"/>
    <row r="375" s="46" customFormat="1" x14ac:dyDescent="0.2"/>
    <row r="376" s="46" customFormat="1" x14ac:dyDescent="0.2"/>
    <row r="377" s="46" customFormat="1" x14ac:dyDescent="0.2"/>
    <row r="378" s="46" customFormat="1" x14ac:dyDescent="0.2"/>
    <row r="379" s="46" customFormat="1" x14ac:dyDescent="0.2"/>
    <row r="380" s="46" customFormat="1" x14ac:dyDescent="0.2"/>
    <row r="381" s="46" customFormat="1" x14ac:dyDescent="0.2"/>
    <row r="382" s="46" customFormat="1" x14ac:dyDescent="0.2"/>
    <row r="383" s="46" customFormat="1" x14ac:dyDescent="0.2"/>
    <row r="384" s="46" customFormat="1" x14ac:dyDescent="0.2"/>
    <row r="385" s="46" customFormat="1" x14ac:dyDescent="0.2"/>
    <row r="386" s="46" customFormat="1" x14ac:dyDescent="0.2"/>
    <row r="387" s="46" customFormat="1" x14ac:dyDescent="0.2"/>
    <row r="388" s="46" customFormat="1" x14ac:dyDescent="0.2"/>
    <row r="389" s="46" customFormat="1" x14ac:dyDescent="0.2"/>
    <row r="390" s="46" customFormat="1" x14ac:dyDescent="0.2"/>
    <row r="391" s="46" customFormat="1" x14ac:dyDescent="0.2"/>
    <row r="392" s="46" customFormat="1" x14ac:dyDescent="0.2"/>
    <row r="393" s="46" customFormat="1" x14ac:dyDescent="0.2"/>
    <row r="394" s="46" customFormat="1" x14ac:dyDescent="0.2"/>
    <row r="395" s="46" customFormat="1" x14ac:dyDescent="0.2"/>
    <row r="396" s="46" customFormat="1" x14ac:dyDescent="0.2"/>
    <row r="397" s="46" customFormat="1" x14ac:dyDescent="0.2"/>
    <row r="398" s="46" customFormat="1" x14ac:dyDescent="0.2"/>
    <row r="399" s="46" customFormat="1" x14ac:dyDescent="0.2"/>
    <row r="400" s="46" customFormat="1" x14ac:dyDescent="0.2"/>
    <row r="401" s="46" customFormat="1" x14ac:dyDescent="0.2"/>
    <row r="402" s="46" customFormat="1" x14ac:dyDescent="0.2"/>
    <row r="403" s="46" customFormat="1" x14ac:dyDescent="0.2"/>
    <row r="404" s="46" customFormat="1" x14ac:dyDescent="0.2"/>
    <row r="405" s="46" customFormat="1" x14ac:dyDescent="0.2"/>
    <row r="406" s="46" customFormat="1" x14ac:dyDescent="0.2"/>
    <row r="407" s="46" customFormat="1" x14ac:dyDescent="0.2"/>
    <row r="408" s="46" customFormat="1" x14ac:dyDescent="0.2"/>
    <row r="409" s="46" customFormat="1" x14ac:dyDescent="0.2"/>
    <row r="410" s="46" customFormat="1" x14ac:dyDescent="0.2"/>
    <row r="411" s="46" customFormat="1" x14ac:dyDescent="0.2"/>
    <row r="412" s="46" customFormat="1" x14ac:dyDescent="0.2"/>
    <row r="413" s="46" customFormat="1" x14ac:dyDescent="0.2"/>
    <row r="414" s="46" customFormat="1" x14ac:dyDescent="0.2"/>
    <row r="415" s="46" customFormat="1" x14ac:dyDescent="0.2"/>
    <row r="416" s="46" customFormat="1" x14ac:dyDescent="0.2"/>
    <row r="417" s="46" customFormat="1" x14ac:dyDescent="0.2"/>
    <row r="418" s="46" customFormat="1" x14ac:dyDescent="0.2"/>
    <row r="419" s="46" customFormat="1" x14ac:dyDescent="0.2"/>
    <row r="420" s="46" customFormat="1" x14ac:dyDescent="0.2"/>
    <row r="421" s="46" customFormat="1" x14ac:dyDescent="0.2"/>
    <row r="422" s="46" customFormat="1" x14ac:dyDescent="0.2"/>
    <row r="423" s="46" customFormat="1" x14ac:dyDescent="0.2"/>
    <row r="424" s="46" customFormat="1" x14ac:dyDescent="0.2"/>
    <row r="425" s="46" customFormat="1" x14ac:dyDescent="0.2"/>
    <row r="426" s="46" customFormat="1" x14ac:dyDescent="0.2"/>
    <row r="427" s="46" customFormat="1" x14ac:dyDescent="0.2"/>
    <row r="428" s="46" customFormat="1" x14ac:dyDescent="0.2"/>
    <row r="429" s="46" customFormat="1" x14ac:dyDescent="0.2"/>
    <row r="430" s="46" customFormat="1" x14ac:dyDescent="0.2"/>
    <row r="431" s="46" customFormat="1" x14ac:dyDescent="0.2"/>
    <row r="432" s="46" customFormat="1" x14ac:dyDescent="0.2"/>
    <row r="433" s="46" customFormat="1" x14ac:dyDescent="0.2"/>
    <row r="434" s="46" customFormat="1" x14ac:dyDescent="0.2"/>
    <row r="435" s="46" customFormat="1" x14ac:dyDescent="0.2"/>
    <row r="436" s="46" customFormat="1" x14ac:dyDescent="0.2"/>
    <row r="437" s="46" customFormat="1" x14ac:dyDescent="0.2"/>
    <row r="438" s="46" customFormat="1" x14ac:dyDescent="0.2"/>
    <row r="439" s="46" customFormat="1" x14ac:dyDescent="0.2"/>
    <row r="440" s="46" customFormat="1" x14ac:dyDescent="0.2"/>
    <row r="441" s="46" customFormat="1" x14ac:dyDescent="0.2"/>
    <row r="442" s="46" customFormat="1" x14ac:dyDescent="0.2"/>
    <row r="443" s="46" customFormat="1" x14ac:dyDescent="0.2"/>
    <row r="444" s="46" customFormat="1" x14ac:dyDescent="0.2"/>
    <row r="445" s="46" customFormat="1" x14ac:dyDescent="0.2"/>
    <row r="446" s="46" customFormat="1" x14ac:dyDescent="0.2"/>
    <row r="447" s="46" customFormat="1" x14ac:dyDescent="0.2"/>
    <row r="448" s="46" customFormat="1" x14ac:dyDescent="0.2"/>
    <row r="449" s="46" customFormat="1" x14ac:dyDescent="0.2"/>
    <row r="450" s="46" customFormat="1" x14ac:dyDescent="0.2"/>
    <row r="451" s="46" customFormat="1" x14ac:dyDescent="0.2"/>
    <row r="452" s="46" customFormat="1" x14ac:dyDescent="0.2"/>
    <row r="453" s="46" customFormat="1" x14ac:dyDescent="0.2"/>
    <row r="454" s="46" customFormat="1" x14ac:dyDescent="0.2"/>
    <row r="455" s="46" customFormat="1" x14ac:dyDescent="0.2"/>
    <row r="456" s="46" customFormat="1" x14ac:dyDescent="0.2"/>
    <row r="457" s="46" customFormat="1" x14ac:dyDescent="0.2"/>
    <row r="458" s="46" customFormat="1" x14ac:dyDescent="0.2"/>
    <row r="459" s="46" customFormat="1" x14ac:dyDescent="0.2"/>
    <row r="460" s="46" customFormat="1" x14ac:dyDescent="0.2"/>
    <row r="461" s="46" customFormat="1" x14ac:dyDescent="0.2"/>
    <row r="462" s="46" customFormat="1" x14ac:dyDescent="0.2"/>
    <row r="463" s="46" customFormat="1" x14ac:dyDescent="0.2"/>
    <row r="464" s="46" customFormat="1" x14ac:dyDescent="0.2"/>
    <row r="465" s="46" customFormat="1" x14ac:dyDescent="0.2"/>
    <row r="466" s="46" customFormat="1" x14ac:dyDescent="0.2"/>
    <row r="467" s="46" customFormat="1" x14ac:dyDescent="0.2"/>
    <row r="468" s="46" customFormat="1" x14ac:dyDescent="0.2"/>
    <row r="469" s="46" customFormat="1" x14ac:dyDescent="0.2"/>
    <row r="470" s="46" customFormat="1" x14ac:dyDescent="0.2"/>
    <row r="471" s="46" customFormat="1" x14ac:dyDescent="0.2"/>
    <row r="472" s="46" customFormat="1" x14ac:dyDescent="0.2"/>
    <row r="473" s="46" customFormat="1" x14ac:dyDescent="0.2"/>
    <row r="474" s="46" customFormat="1" x14ac:dyDescent="0.2"/>
    <row r="475" s="46" customFormat="1" x14ac:dyDescent="0.2"/>
    <row r="476" s="46" customFormat="1" x14ac:dyDescent="0.2"/>
    <row r="477" s="46" customFormat="1" x14ac:dyDescent="0.2"/>
    <row r="478" s="46" customFormat="1" x14ac:dyDescent="0.2"/>
    <row r="479" s="46" customFormat="1" x14ac:dyDescent="0.2"/>
    <row r="480" s="46" customFormat="1" x14ac:dyDescent="0.2"/>
    <row r="481" s="46" customFormat="1" x14ac:dyDescent="0.2"/>
    <row r="482" s="46" customFormat="1" x14ac:dyDescent="0.2"/>
    <row r="483" s="46" customFormat="1" x14ac:dyDescent="0.2"/>
    <row r="484" s="46" customFormat="1" x14ac:dyDescent="0.2"/>
    <row r="485" s="46" customFormat="1" x14ac:dyDescent="0.2"/>
    <row r="486" s="46" customFormat="1" x14ac:dyDescent="0.2"/>
    <row r="487" s="46" customFormat="1" x14ac:dyDescent="0.2"/>
    <row r="488" s="46" customFormat="1" x14ac:dyDescent="0.2"/>
    <row r="489" s="46" customFormat="1" x14ac:dyDescent="0.2"/>
    <row r="490" s="46" customFormat="1" x14ac:dyDescent="0.2"/>
    <row r="491" s="46" customFormat="1" x14ac:dyDescent="0.2"/>
    <row r="492" s="46" customFormat="1" x14ac:dyDescent="0.2"/>
    <row r="493" s="46" customFormat="1" x14ac:dyDescent="0.2"/>
    <row r="494" s="46" customFormat="1" x14ac:dyDescent="0.2"/>
    <row r="495" s="46" customFormat="1" x14ac:dyDescent="0.2"/>
    <row r="496" s="46" customFormat="1" x14ac:dyDescent="0.2"/>
    <row r="497" s="46" customFormat="1" x14ac:dyDescent="0.2"/>
    <row r="498" s="46" customFormat="1" x14ac:dyDescent="0.2"/>
    <row r="499" s="46" customFormat="1" x14ac:dyDescent="0.2"/>
    <row r="500" s="46" customFormat="1" x14ac:dyDescent="0.2"/>
    <row r="501" s="46" customFormat="1" x14ac:dyDescent="0.2"/>
    <row r="502" s="46" customFormat="1" x14ac:dyDescent="0.2"/>
    <row r="503" s="46" customFormat="1" x14ac:dyDescent="0.2"/>
    <row r="504" s="46" customFormat="1" x14ac:dyDescent="0.2"/>
    <row r="505" s="46" customFormat="1" x14ac:dyDescent="0.2"/>
    <row r="506" s="46" customFormat="1" x14ac:dyDescent="0.2"/>
    <row r="507" s="46" customFormat="1" x14ac:dyDescent="0.2"/>
    <row r="508" s="46" customFormat="1" x14ac:dyDescent="0.2"/>
    <row r="509" s="46" customFormat="1" x14ac:dyDescent="0.2"/>
    <row r="510" s="46" customFormat="1" x14ac:dyDescent="0.2"/>
    <row r="511" s="46" customFormat="1" x14ac:dyDescent="0.2"/>
    <row r="512" s="46" customFormat="1" x14ac:dyDescent="0.2"/>
    <row r="513" s="46" customFormat="1" x14ac:dyDescent="0.2"/>
    <row r="514" s="46" customFormat="1" x14ac:dyDescent="0.2"/>
    <row r="515" s="46" customFormat="1" x14ac:dyDescent="0.2"/>
    <row r="516" s="46" customFormat="1" x14ac:dyDescent="0.2"/>
    <row r="517" s="46" customFormat="1" x14ac:dyDescent="0.2"/>
    <row r="518" s="46" customFormat="1" x14ac:dyDescent="0.2"/>
    <row r="519" s="46" customFormat="1" x14ac:dyDescent="0.2"/>
    <row r="520" s="46" customFormat="1" x14ac:dyDescent="0.2"/>
    <row r="521" s="46" customFormat="1" x14ac:dyDescent="0.2"/>
    <row r="522" s="46" customFormat="1" x14ac:dyDescent="0.2"/>
    <row r="523" s="46" customFormat="1" x14ac:dyDescent="0.2"/>
    <row r="524" s="46" customFormat="1" x14ac:dyDescent="0.2"/>
    <row r="525" s="46" customFormat="1" x14ac:dyDescent="0.2"/>
    <row r="526" s="46" customFormat="1" x14ac:dyDescent="0.2"/>
    <row r="527" s="46" customFormat="1" x14ac:dyDescent="0.2"/>
    <row r="528" s="46" customFormat="1" x14ac:dyDescent="0.2"/>
    <row r="529" s="46" customFormat="1" x14ac:dyDescent="0.2"/>
    <row r="530" s="46" customFormat="1" x14ac:dyDescent="0.2"/>
    <row r="531" s="46" customFormat="1" x14ac:dyDescent="0.2"/>
    <row r="532" s="46" customFormat="1" x14ac:dyDescent="0.2"/>
    <row r="533" s="46" customFormat="1" x14ac:dyDescent="0.2"/>
    <row r="534" s="46" customFormat="1" x14ac:dyDescent="0.2"/>
    <row r="535" s="46" customFormat="1" x14ac:dyDescent="0.2"/>
    <row r="536" s="46" customFormat="1" x14ac:dyDescent="0.2"/>
    <row r="537" s="46" customFormat="1" x14ac:dyDescent="0.2"/>
    <row r="538" s="46" customFormat="1" x14ac:dyDescent="0.2"/>
    <row r="539" s="46" customFormat="1" x14ac:dyDescent="0.2"/>
    <row r="540" s="46" customFormat="1" x14ac:dyDescent="0.2"/>
    <row r="541" s="46" customFormat="1" x14ac:dyDescent="0.2"/>
    <row r="542" s="46" customFormat="1" x14ac:dyDescent="0.2"/>
    <row r="543" s="46" customFormat="1" x14ac:dyDescent="0.2"/>
    <row r="544" s="46" customFormat="1" x14ac:dyDescent="0.2"/>
    <row r="545" s="46" customFormat="1" x14ac:dyDescent="0.2"/>
    <row r="546" s="46" customFormat="1" x14ac:dyDescent="0.2"/>
    <row r="547" s="46" customFormat="1" x14ac:dyDescent="0.2"/>
    <row r="548" s="46" customFormat="1" x14ac:dyDescent="0.2"/>
    <row r="549" s="46" customFormat="1" x14ac:dyDescent="0.2"/>
    <row r="550" s="46" customFormat="1" x14ac:dyDescent="0.2"/>
    <row r="551" s="46" customFormat="1" x14ac:dyDescent="0.2"/>
    <row r="552" s="46" customFormat="1" x14ac:dyDescent="0.2"/>
    <row r="553" s="46" customFormat="1" x14ac:dyDescent="0.2"/>
    <row r="554" s="46" customFormat="1" x14ac:dyDescent="0.2"/>
    <row r="555" s="46" customFormat="1" x14ac:dyDescent="0.2"/>
    <row r="556" s="46" customFormat="1" x14ac:dyDescent="0.2"/>
    <row r="557" s="46" customFormat="1" x14ac:dyDescent="0.2"/>
    <row r="558" s="46" customFormat="1" x14ac:dyDescent="0.2"/>
    <row r="559" s="46" customFormat="1" x14ac:dyDescent="0.2"/>
    <row r="560" s="46" customFormat="1" x14ac:dyDescent="0.2"/>
    <row r="561" s="46" customFormat="1" x14ac:dyDescent="0.2"/>
    <row r="562" s="46" customFormat="1" x14ac:dyDescent="0.2"/>
    <row r="563" s="46" customFormat="1" x14ac:dyDescent="0.2"/>
    <row r="564" s="46" customFormat="1" x14ac:dyDescent="0.2"/>
    <row r="565" s="46" customFormat="1" x14ac:dyDescent="0.2"/>
    <row r="566" s="46" customFormat="1" x14ac:dyDescent="0.2"/>
    <row r="567" s="46" customFormat="1" x14ac:dyDescent="0.2"/>
    <row r="568" s="46" customFormat="1" x14ac:dyDescent="0.2"/>
    <row r="569" s="46" customFormat="1" x14ac:dyDescent="0.2"/>
    <row r="570" s="46" customFormat="1" x14ac:dyDescent="0.2"/>
    <row r="571" s="46" customFormat="1" x14ac:dyDescent="0.2"/>
    <row r="572" s="46" customFormat="1" x14ac:dyDescent="0.2"/>
    <row r="573" s="46" customFormat="1" x14ac:dyDescent="0.2"/>
    <row r="574" s="46" customFormat="1" x14ac:dyDescent="0.2"/>
    <row r="575" s="46" customFormat="1" x14ac:dyDescent="0.2"/>
    <row r="576" s="46" customFormat="1" x14ac:dyDescent="0.2"/>
    <row r="577" s="46" customFormat="1" x14ac:dyDescent="0.2"/>
    <row r="578" s="46" customFormat="1" x14ac:dyDescent="0.2"/>
    <row r="579" s="46" customFormat="1" x14ac:dyDescent="0.2"/>
    <row r="580" s="46" customFormat="1" x14ac:dyDescent="0.2"/>
    <row r="581" s="46" customFormat="1" x14ac:dyDescent="0.2"/>
    <row r="582" s="46" customFormat="1" x14ac:dyDescent="0.2"/>
    <row r="583" s="46" customFormat="1" x14ac:dyDescent="0.2"/>
    <row r="584" s="46" customFormat="1" x14ac:dyDescent="0.2"/>
    <row r="585" s="46" customFormat="1" x14ac:dyDescent="0.2"/>
    <row r="586" s="46" customFormat="1" x14ac:dyDescent="0.2"/>
    <row r="587" s="46" customFormat="1" x14ac:dyDescent="0.2"/>
    <row r="588" s="46" customFormat="1" x14ac:dyDescent="0.2"/>
    <row r="589" s="46" customFormat="1" x14ac:dyDescent="0.2"/>
    <row r="590" s="46" customFormat="1" x14ac:dyDescent="0.2"/>
    <row r="591" s="46" customFormat="1" x14ac:dyDescent="0.2"/>
    <row r="592" s="46" customFormat="1" x14ac:dyDescent="0.2"/>
    <row r="593" s="46" customFormat="1" x14ac:dyDescent="0.2"/>
    <row r="594" s="46" customFormat="1" x14ac:dyDescent="0.2"/>
    <row r="595" s="46" customFormat="1" x14ac:dyDescent="0.2"/>
    <row r="596" s="46" customFormat="1" x14ac:dyDescent="0.2"/>
    <row r="597" s="46" customFormat="1" x14ac:dyDescent="0.2"/>
    <row r="598" s="46" customFormat="1" x14ac:dyDescent="0.2"/>
    <row r="599" s="46" customFormat="1" x14ac:dyDescent="0.2"/>
    <row r="600" s="46" customFormat="1" x14ac:dyDescent="0.2"/>
    <row r="601" s="46" customFormat="1" x14ac:dyDescent="0.2"/>
    <row r="602" s="46" customFormat="1" x14ac:dyDescent="0.2"/>
    <row r="603" s="46" customFormat="1" x14ac:dyDescent="0.2"/>
    <row r="604" s="46" customFormat="1" x14ac:dyDescent="0.2"/>
    <row r="605" s="46" customFormat="1" x14ac:dyDescent="0.2"/>
    <row r="606" s="46" customFormat="1" x14ac:dyDescent="0.2"/>
    <row r="607" s="46" customFormat="1" x14ac:dyDescent="0.2"/>
    <row r="608" s="46" customFormat="1" x14ac:dyDescent="0.2"/>
    <row r="609" s="46" customFormat="1" x14ac:dyDescent="0.2"/>
    <row r="610" s="46" customFormat="1" x14ac:dyDescent="0.2"/>
    <row r="611" s="46" customFormat="1" x14ac:dyDescent="0.2"/>
    <row r="612" s="46" customFormat="1" x14ac:dyDescent="0.2"/>
    <row r="613" s="46" customFormat="1" x14ac:dyDescent="0.2"/>
    <row r="614" s="46" customFormat="1" x14ac:dyDescent="0.2"/>
    <row r="615" s="46" customFormat="1" x14ac:dyDescent="0.2"/>
    <row r="616" s="46" customFormat="1" x14ac:dyDescent="0.2"/>
    <row r="617" s="46" customFormat="1" x14ac:dyDescent="0.2"/>
    <row r="618" s="46" customFormat="1" x14ac:dyDescent="0.2"/>
    <row r="619" s="46" customFormat="1" x14ac:dyDescent="0.2"/>
    <row r="620" s="46" customFormat="1" x14ac:dyDescent="0.2"/>
    <row r="621" s="46" customFormat="1" x14ac:dyDescent="0.2"/>
    <row r="622" s="46" customFormat="1" x14ac:dyDescent="0.2"/>
    <row r="623" s="46" customFormat="1" x14ac:dyDescent="0.2"/>
    <row r="624" s="46" customFormat="1" x14ac:dyDescent="0.2"/>
    <row r="625" s="46" customFormat="1" x14ac:dyDescent="0.2"/>
    <row r="626" s="46" customFormat="1" x14ac:dyDescent="0.2"/>
    <row r="627" s="46" customFormat="1" x14ac:dyDescent="0.2"/>
    <row r="628" s="46" customFormat="1" x14ac:dyDescent="0.2"/>
    <row r="629" s="46" customFormat="1" x14ac:dyDescent="0.2"/>
    <row r="630" s="46" customFormat="1" x14ac:dyDescent="0.2"/>
    <row r="631" s="46" customFormat="1" x14ac:dyDescent="0.2"/>
    <row r="632" s="46" customFormat="1" x14ac:dyDescent="0.2"/>
    <row r="633" s="46" customFormat="1" x14ac:dyDescent="0.2"/>
    <row r="634" s="46" customFormat="1" x14ac:dyDescent="0.2"/>
    <row r="635" s="46" customFormat="1" x14ac:dyDescent="0.2"/>
    <row r="636" s="46" customFormat="1" x14ac:dyDescent="0.2"/>
    <row r="637" s="46" customFormat="1" x14ac:dyDescent="0.2"/>
    <row r="638" s="46" customFormat="1" x14ac:dyDescent="0.2"/>
    <row r="639" s="46" customFormat="1" x14ac:dyDescent="0.2"/>
    <row r="640" s="46" customFormat="1" x14ac:dyDescent="0.2"/>
    <row r="641" s="46" customFormat="1" x14ac:dyDescent="0.2"/>
    <row r="642" s="46" customFormat="1" x14ac:dyDescent="0.2"/>
    <row r="643" s="46" customFormat="1" x14ac:dyDescent="0.2"/>
    <row r="644" s="46" customFormat="1" x14ac:dyDescent="0.2"/>
    <row r="645" s="46" customFormat="1" x14ac:dyDescent="0.2"/>
    <row r="646" s="46" customFormat="1" x14ac:dyDescent="0.2"/>
    <row r="647" s="46" customFormat="1" x14ac:dyDescent="0.2"/>
    <row r="648" s="46" customFormat="1" x14ac:dyDescent="0.2"/>
    <row r="649" s="46" customFormat="1" x14ac:dyDescent="0.2"/>
    <row r="650" s="46" customFormat="1" x14ac:dyDescent="0.2"/>
    <row r="651" s="46" customFormat="1" x14ac:dyDescent="0.2"/>
    <row r="652" s="46" customFormat="1" x14ac:dyDescent="0.2"/>
    <row r="653" s="46" customFormat="1" x14ac:dyDescent="0.2"/>
    <row r="654" s="46" customFormat="1" x14ac:dyDescent="0.2"/>
    <row r="655" s="46" customFormat="1" x14ac:dyDescent="0.2"/>
    <row r="656" s="46" customFormat="1" x14ac:dyDescent="0.2"/>
    <row r="657" s="46" customFormat="1" x14ac:dyDescent="0.2"/>
    <row r="658" s="46" customFormat="1" x14ac:dyDescent="0.2"/>
    <row r="659" s="46" customFormat="1" x14ac:dyDescent="0.2"/>
    <row r="660" s="46" customFormat="1" x14ac:dyDescent="0.2"/>
    <row r="661" s="46" customFormat="1" x14ac:dyDescent="0.2"/>
    <row r="662" s="46" customFormat="1" x14ac:dyDescent="0.2"/>
    <row r="663" s="46" customFormat="1" x14ac:dyDescent="0.2"/>
    <row r="664" s="46" customFormat="1" x14ac:dyDescent="0.2"/>
    <row r="665" s="46" customFormat="1" x14ac:dyDescent="0.2"/>
    <row r="666" s="46" customFormat="1" x14ac:dyDescent="0.2"/>
    <row r="667" s="46" customFormat="1" x14ac:dyDescent="0.2"/>
    <row r="668" s="46" customFormat="1" x14ac:dyDescent="0.2"/>
    <row r="669" s="46" customFormat="1" x14ac:dyDescent="0.2"/>
    <row r="670" s="46" customFormat="1" x14ac:dyDescent="0.2"/>
    <row r="671" s="46" customFormat="1" x14ac:dyDescent="0.2"/>
    <row r="672" s="46" customFormat="1" x14ac:dyDescent="0.2"/>
    <row r="673" s="46" customFormat="1" x14ac:dyDescent="0.2"/>
    <row r="674" s="46" customFormat="1" x14ac:dyDescent="0.2"/>
    <row r="675" s="46" customFormat="1" x14ac:dyDescent="0.2"/>
    <row r="676" s="46" customFormat="1" x14ac:dyDescent="0.2"/>
    <row r="677" s="46" customFormat="1" x14ac:dyDescent="0.2"/>
    <row r="678" s="46" customFormat="1" x14ac:dyDescent="0.2"/>
    <row r="679" s="46" customFormat="1" x14ac:dyDescent="0.2"/>
    <row r="680" s="46" customFormat="1" x14ac:dyDescent="0.2"/>
    <row r="681" s="46" customFormat="1" x14ac:dyDescent="0.2"/>
    <row r="682" s="46" customFormat="1" x14ac:dyDescent="0.2"/>
    <row r="683" s="46" customFormat="1" x14ac:dyDescent="0.2"/>
    <row r="684" s="46" customFormat="1" x14ac:dyDescent="0.2"/>
    <row r="685" s="46" customFormat="1" x14ac:dyDescent="0.2"/>
    <row r="686" s="46" customFormat="1" x14ac:dyDescent="0.2"/>
    <row r="687" s="46" customFormat="1" x14ac:dyDescent="0.2"/>
    <row r="688" s="46" customFormat="1" x14ac:dyDescent="0.2"/>
    <row r="689" s="46" customFormat="1" x14ac:dyDescent="0.2"/>
    <row r="690" s="46" customFormat="1" x14ac:dyDescent="0.2"/>
    <row r="691" s="46" customFormat="1" x14ac:dyDescent="0.2"/>
    <row r="692" s="46" customFormat="1" x14ac:dyDescent="0.2"/>
    <row r="693" s="46" customFormat="1" x14ac:dyDescent="0.2"/>
    <row r="694" s="46" customFormat="1" x14ac:dyDescent="0.2"/>
    <row r="695" s="46" customFormat="1" x14ac:dyDescent="0.2"/>
    <row r="696" s="46" customFormat="1" x14ac:dyDescent="0.2"/>
    <row r="697" s="46" customFormat="1" x14ac:dyDescent="0.2"/>
    <row r="698" s="46" customFormat="1" x14ac:dyDescent="0.2"/>
    <row r="699" s="46" customFormat="1" x14ac:dyDescent="0.2"/>
    <row r="700" s="46" customFormat="1" x14ac:dyDescent="0.2"/>
    <row r="701" s="46" customFormat="1" x14ac:dyDescent="0.2"/>
    <row r="702" s="46" customFormat="1" x14ac:dyDescent="0.2"/>
    <row r="703" s="46" customFormat="1" x14ac:dyDescent="0.2"/>
    <row r="704" s="46" customFormat="1" x14ac:dyDescent="0.2"/>
    <row r="705" s="46" customFormat="1" x14ac:dyDescent="0.2"/>
    <row r="706" s="46" customFormat="1" x14ac:dyDescent="0.2"/>
    <row r="707" s="46" customFormat="1" x14ac:dyDescent="0.2"/>
    <row r="708" s="46" customFormat="1" x14ac:dyDescent="0.2"/>
    <row r="709" s="46" customFormat="1" x14ac:dyDescent="0.2"/>
    <row r="710" s="46" customFormat="1" x14ac:dyDescent="0.2"/>
    <row r="711" s="46" customFormat="1" x14ac:dyDescent="0.2"/>
    <row r="712" s="46" customFormat="1" x14ac:dyDescent="0.2"/>
    <row r="713" s="46" customFormat="1" x14ac:dyDescent="0.2"/>
    <row r="714" s="46" customFormat="1" x14ac:dyDescent="0.2"/>
    <row r="715" s="46" customFormat="1" x14ac:dyDescent="0.2"/>
    <row r="716" s="46" customFormat="1" x14ac:dyDescent="0.2"/>
    <row r="717" s="46" customFormat="1" x14ac:dyDescent="0.2"/>
    <row r="718" s="46" customFormat="1" x14ac:dyDescent="0.2"/>
    <row r="719" s="46" customFormat="1" x14ac:dyDescent="0.2"/>
    <row r="720" s="46" customFormat="1" x14ac:dyDescent="0.2"/>
    <row r="721" s="46" customFormat="1" x14ac:dyDescent="0.2"/>
    <row r="722" s="46" customFormat="1" x14ac:dyDescent="0.2"/>
    <row r="723" s="46" customFormat="1" x14ac:dyDescent="0.2"/>
    <row r="724" s="46" customFormat="1" x14ac:dyDescent="0.2"/>
    <row r="725" s="46" customFormat="1" x14ac:dyDescent="0.2"/>
    <row r="726" s="46" customFormat="1" x14ac:dyDescent="0.2"/>
    <row r="727" s="46" customFormat="1" x14ac:dyDescent="0.2"/>
    <row r="728" s="46" customFormat="1" x14ac:dyDescent="0.2"/>
    <row r="729" s="46" customFormat="1" x14ac:dyDescent="0.2"/>
    <row r="730" s="46" customFormat="1" x14ac:dyDescent="0.2"/>
    <row r="731" s="46" customFormat="1" x14ac:dyDescent="0.2"/>
    <row r="732" s="46" customFormat="1" x14ac:dyDescent="0.2"/>
    <row r="733" s="46" customFormat="1" x14ac:dyDescent="0.2"/>
    <row r="734" s="46" customFormat="1" x14ac:dyDescent="0.2"/>
    <row r="735" s="46" customFormat="1" x14ac:dyDescent="0.2"/>
    <row r="736" s="46" customFormat="1" x14ac:dyDescent="0.2"/>
    <row r="737" s="46" customFormat="1" x14ac:dyDescent="0.2"/>
    <row r="738" s="46" customFormat="1" x14ac:dyDescent="0.2"/>
    <row r="739" s="46" customFormat="1" x14ac:dyDescent="0.2"/>
    <row r="740" s="46" customFormat="1" x14ac:dyDescent="0.2"/>
    <row r="741" s="46" customFormat="1" x14ac:dyDescent="0.2"/>
    <row r="742" s="46" customFormat="1" x14ac:dyDescent="0.2"/>
    <row r="743" s="46" customFormat="1" x14ac:dyDescent="0.2"/>
    <row r="744" s="46" customFormat="1" x14ac:dyDescent="0.2"/>
    <row r="745" s="46" customFormat="1" x14ac:dyDescent="0.2"/>
    <row r="746" s="46" customFormat="1" x14ac:dyDescent="0.2"/>
    <row r="747" s="46" customFormat="1" x14ac:dyDescent="0.2"/>
    <row r="748" s="46" customFormat="1" x14ac:dyDescent="0.2"/>
    <row r="749" s="46" customFormat="1" x14ac:dyDescent="0.2"/>
    <row r="750" s="46" customFormat="1" x14ac:dyDescent="0.2"/>
    <row r="751" s="46" customFormat="1" x14ac:dyDescent="0.2"/>
    <row r="752" s="46" customFormat="1" x14ac:dyDescent="0.2"/>
    <row r="753" s="46" customFormat="1" x14ac:dyDescent="0.2"/>
    <row r="754" s="46" customFormat="1" x14ac:dyDescent="0.2"/>
    <row r="755" s="46" customFormat="1" x14ac:dyDescent="0.2"/>
    <row r="756" s="46" customFormat="1" x14ac:dyDescent="0.2"/>
    <row r="757" s="46" customFormat="1" x14ac:dyDescent="0.2"/>
    <row r="758" s="46" customFormat="1" x14ac:dyDescent="0.2"/>
    <row r="759" s="46" customFormat="1" x14ac:dyDescent="0.2"/>
    <row r="760" s="46" customFormat="1" x14ac:dyDescent="0.2"/>
    <row r="761" s="46" customFormat="1" x14ac:dyDescent="0.2"/>
    <row r="762" s="46" customFormat="1" x14ac:dyDescent="0.2"/>
    <row r="763" s="46" customFormat="1" x14ac:dyDescent="0.2"/>
    <row r="764" s="46" customFormat="1" x14ac:dyDescent="0.2"/>
    <row r="765" s="46" customFormat="1" x14ac:dyDescent="0.2"/>
    <row r="766" s="46" customFormat="1" x14ac:dyDescent="0.2"/>
    <row r="767" s="46" customFormat="1" x14ac:dyDescent="0.2"/>
    <row r="768" s="46" customFormat="1" x14ac:dyDescent="0.2"/>
    <row r="769" s="46" customFormat="1" x14ac:dyDescent="0.2"/>
    <row r="770" s="46" customFormat="1" x14ac:dyDescent="0.2"/>
    <row r="771" s="46" customFormat="1" x14ac:dyDescent="0.2"/>
    <row r="772" s="46" customFormat="1" x14ac:dyDescent="0.2"/>
    <row r="773" s="46" customFormat="1" x14ac:dyDescent="0.2"/>
    <row r="774" s="46" customFormat="1" x14ac:dyDescent="0.2"/>
    <row r="775" s="46" customFormat="1" x14ac:dyDescent="0.2"/>
    <row r="776" s="46" customFormat="1" x14ac:dyDescent="0.2"/>
    <row r="777" s="46" customFormat="1" x14ac:dyDescent="0.2"/>
    <row r="778" s="46" customFormat="1" x14ac:dyDescent="0.2"/>
    <row r="779" s="46" customFormat="1" x14ac:dyDescent="0.2"/>
    <row r="780" s="46" customFormat="1" x14ac:dyDescent="0.2"/>
    <row r="781" s="46" customFormat="1" x14ac:dyDescent="0.2"/>
    <row r="782" s="46" customFormat="1" x14ac:dyDescent="0.2"/>
    <row r="783" s="46" customFormat="1" x14ac:dyDescent="0.2"/>
    <row r="784" s="46" customFormat="1" x14ac:dyDescent="0.2"/>
    <row r="785" s="46" customFormat="1" x14ac:dyDescent="0.2"/>
    <row r="786" s="46" customFormat="1" x14ac:dyDescent="0.2"/>
    <row r="787" s="46" customFormat="1" x14ac:dyDescent="0.2"/>
    <row r="788" s="46" customFormat="1" x14ac:dyDescent="0.2"/>
    <row r="789" s="46" customFormat="1" x14ac:dyDescent="0.2"/>
    <row r="790" s="46" customFormat="1" x14ac:dyDescent="0.2"/>
    <row r="791" s="46" customFormat="1" x14ac:dyDescent="0.2"/>
    <row r="792" s="46" customFormat="1" x14ac:dyDescent="0.2"/>
    <row r="793" s="46" customFormat="1" x14ac:dyDescent="0.2"/>
    <row r="794" s="46" customFormat="1" x14ac:dyDescent="0.2"/>
    <row r="795" s="46" customFormat="1" x14ac:dyDescent="0.2"/>
    <row r="796" s="46" customFormat="1" x14ac:dyDescent="0.2"/>
    <row r="797" s="46" customFormat="1" x14ac:dyDescent="0.2"/>
    <row r="798" s="46" customFormat="1" x14ac:dyDescent="0.2"/>
    <row r="799" s="46" customFormat="1" x14ac:dyDescent="0.2"/>
    <row r="800" s="46" customFormat="1" x14ac:dyDescent="0.2"/>
    <row r="801" s="46" customFormat="1" x14ac:dyDescent="0.2"/>
    <row r="802" s="46" customFormat="1" x14ac:dyDescent="0.2"/>
    <row r="803" s="46" customFormat="1" x14ac:dyDescent="0.2"/>
    <row r="804" s="46" customFormat="1" x14ac:dyDescent="0.2"/>
    <row r="805" s="46" customFormat="1" x14ac:dyDescent="0.2"/>
    <row r="806" s="46" customFormat="1" x14ac:dyDescent="0.2"/>
    <row r="807" s="46" customFormat="1" x14ac:dyDescent="0.2"/>
    <row r="808" s="46" customFormat="1" x14ac:dyDescent="0.2"/>
    <row r="809" s="46" customFormat="1" x14ac:dyDescent="0.2"/>
    <row r="810" s="46" customFormat="1" x14ac:dyDescent="0.2"/>
    <row r="811" s="46" customFormat="1" x14ac:dyDescent="0.2"/>
    <row r="812" s="46" customFormat="1" x14ac:dyDescent="0.2"/>
    <row r="813" s="46" customFormat="1" x14ac:dyDescent="0.2"/>
    <row r="814" s="46" customFormat="1" x14ac:dyDescent="0.2"/>
    <row r="815" s="46" customFormat="1" x14ac:dyDescent="0.2"/>
    <row r="816" s="46" customFormat="1" x14ac:dyDescent="0.2"/>
    <row r="817" s="46" customFormat="1" x14ac:dyDescent="0.2"/>
    <row r="818" s="46" customFormat="1" x14ac:dyDescent="0.2"/>
    <row r="819" s="46" customFormat="1" x14ac:dyDescent="0.2"/>
    <row r="820" s="46" customFormat="1" x14ac:dyDescent="0.2"/>
    <row r="821" s="46" customFormat="1" x14ac:dyDescent="0.2"/>
    <row r="822" s="46" customFormat="1" x14ac:dyDescent="0.2"/>
    <row r="823" s="46" customFormat="1" x14ac:dyDescent="0.2"/>
    <row r="824" s="46" customFormat="1" x14ac:dyDescent="0.2"/>
    <row r="825" s="46" customFormat="1" x14ac:dyDescent="0.2"/>
    <row r="826" s="46" customFormat="1" x14ac:dyDescent="0.2"/>
    <row r="827" s="46" customFormat="1" x14ac:dyDescent="0.2"/>
    <row r="828" s="46" customFormat="1" x14ac:dyDescent="0.2"/>
    <row r="829" s="46" customFormat="1" x14ac:dyDescent="0.2"/>
    <row r="830" s="46" customFormat="1" x14ac:dyDescent="0.2"/>
    <row r="831" s="46" customFormat="1" x14ac:dyDescent="0.2"/>
    <row r="832" s="46" customFormat="1" x14ac:dyDescent="0.2"/>
    <row r="833" s="46" customFormat="1" x14ac:dyDescent="0.2"/>
    <row r="834" s="46" customFormat="1" x14ac:dyDescent="0.2"/>
    <row r="835" s="46" customFormat="1" x14ac:dyDescent="0.2"/>
    <row r="836" s="46" customFormat="1" x14ac:dyDescent="0.2"/>
    <row r="837" s="46" customFormat="1" x14ac:dyDescent="0.2"/>
    <row r="838" s="46" customFormat="1" x14ac:dyDescent="0.2"/>
    <row r="839" s="46" customFormat="1" x14ac:dyDescent="0.2"/>
    <row r="840" s="46" customFormat="1" x14ac:dyDescent="0.2"/>
    <row r="841" s="46" customFormat="1" x14ac:dyDescent="0.2"/>
    <row r="842" s="46" customFormat="1" x14ac:dyDescent="0.2"/>
    <row r="843" s="46" customFormat="1" x14ac:dyDescent="0.2"/>
    <row r="844" s="46" customFormat="1" x14ac:dyDescent="0.2"/>
    <row r="845" s="46" customFormat="1" x14ac:dyDescent="0.2"/>
    <row r="846" s="46" customFormat="1" x14ac:dyDescent="0.2"/>
    <row r="847" s="46" customFormat="1" x14ac:dyDescent="0.2"/>
    <row r="848" s="46" customFormat="1" x14ac:dyDescent="0.2"/>
    <row r="849" s="46" customFormat="1" x14ac:dyDescent="0.2"/>
    <row r="850" s="46" customFormat="1" x14ac:dyDescent="0.2"/>
    <row r="851" s="46" customFormat="1" x14ac:dyDescent="0.2"/>
    <row r="852" s="46" customFormat="1" x14ac:dyDescent="0.2"/>
    <row r="853" s="46" customFormat="1" x14ac:dyDescent="0.2"/>
    <row r="854" s="46" customFormat="1" x14ac:dyDescent="0.2"/>
    <row r="855" s="46" customFormat="1" x14ac:dyDescent="0.2"/>
    <row r="856" s="46" customFormat="1" x14ac:dyDescent="0.2"/>
    <row r="857" s="46" customFormat="1" x14ac:dyDescent="0.2"/>
    <row r="858" s="46" customFormat="1" x14ac:dyDescent="0.2"/>
    <row r="859" s="46" customFormat="1" x14ac:dyDescent="0.2"/>
    <row r="860" s="46" customFormat="1" x14ac:dyDescent="0.2"/>
    <row r="861" s="46" customFormat="1" x14ac:dyDescent="0.2"/>
    <row r="862" s="46" customFormat="1" x14ac:dyDescent="0.2"/>
    <row r="863" s="46" customFormat="1" x14ac:dyDescent="0.2"/>
    <row r="864" s="46" customFormat="1" x14ac:dyDescent="0.2"/>
    <row r="865" s="46" customFormat="1" x14ac:dyDescent="0.2"/>
    <row r="866" s="46" customFormat="1" x14ac:dyDescent="0.2"/>
    <row r="867" s="46" customFormat="1" x14ac:dyDescent="0.2"/>
    <row r="868" s="46" customFormat="1" x14ac:dyDescent="0.2"/>
    <row r="869" s="46" customFormat="1" x14ac:dyDescent="0.2"/>
    <row r="870" s="46" customFormat="1" x14ac:dyDescent="0.2"/>
    <row r="871" s="46" customFormat="1" x14ac:dyDescent="0.2"/>
    <row r="872" s="46" customFormat="1" x14ac:dyDescent="0.2"/>
    <row r="873" s="46" customFormat="1" x14ac:dyDescent="0.2"/>
    <row r="874" s="46" customFormat="1" x14ac:dyDescent="0.2"/>
    <row r="875" s="46" customFormat="1" x14ac:dyDescent="0.2"/>
    <row r="876" s="46" customFormat="1" x14ac:dyDescent="0.2"/>
    <row r="877" s="46" customFormat="1" x14ac:dyDescent="0.2"/>
    <row r="878" s="46" customFormat="1" x14ac:dyDescent="0.2"/>
    <row r="879" s="46" customFormat="1" x14ac:dyDescent="0.2"/>
    <row r="880" s="46" customFormat="1" x14ac:dyDescent="0.2"/>
    <row r="881" s="46" customFormat="1" x14ac:dyDescent="0.2"/>
    <row r="882" s="46" customFormat="1" x14ac:dyDescent="0.2"/>
    <row r="883" s="46" customFormat="1" x14ac:dyDescent="0.2"/>
    <row r="884" s="46" customFormat="1" x14ac:dyDescent="0.2"/>
    <row r="885" s="46" customFormat="1" x14ac:dyDescent="0.2"/>
    <row r="886" s="46" customFormat="1" x14ac:dyDescent="0.2"/>
    <row r="887" s="46" customFormat="1" x14ac:dyDescent="0.2"/>
    <row r="888" s="46" customFormat="1" x14ac:dyDescent="0.2"/>
    <row r="889" s="46" customFormat="1" x14ac:dyDescent="0.2"/>
    <row r="890" s="46" customFormat="1" x14ac:dyDescent="0.2"/>
    <row r="891" s="46" customFormat="1" x14ac:dyDescent="0.2"/>
    <row r="892" s="46" customFormat="1" x14ac:dyDescent="0.2"/>
    <row r="893" s="46" customFormat="1" x14ac:dyDescent="0.2"/>
    <row r="894" s="46" customFormat="1" x14ac:dyDescent="0.2"/>
    <row r="895" s="46" customFormat="1" x14ac:dyDescent="0.2"/>
    <row r="896" s="46" customFormat="1" x14ac:dyDescent="0.2"/>
    <row r="897" s="46" customFormat="1" x14ac:dyDescent="0.2"/>
    <row r="898" s="46" customFormat="1" x14ac:dyDescent="0.2"/>
    <row r="899" s="46" customFormat="1" x14ac:dyDescent="0.2"/>
    <row r="900" s="46" customFormat="1" x14ac:dyDescent="0.2"/>
    <row r="901" s="46" customFormat="1" x14ac:dyDescent="0.2"/>
    <row r="902" s="46" customFormat="1" x14ac:dyDescent="0.2"/>
    <row r="903" s="46" customFormat="1" x14ac:dyDescent="0.2"/>
    <row r="904" s="46" customFormat="1" x14ac:dyDescent="0.2"/>
    <row r="905" s="46" customFormat="1" x14ac:dyDescent="0.2"/>
    <row r="906" s="46" customFormat="1" x14ac:dyDescent="0.2"/>
    <row r="907" s="46" customFormat="1" x14ac:dyDescent="0.2"/>
    <row r="908" s="46" customFormat="1" x14ac:dyDescent="0.2"/>
    <row r="909" s="46" customFormat="1" x14ac:dyDescent="0.2"/>
    <row r="910" s="46" customFormat="1" x14ac:dyDescent="0.2"/>
    <row r="911" s="46" customFormat="1" x14ac:dyDescent="0.2"/>
    <row r="912" s="46" customFormat="1" x14ac:dyDescent="0.2"/>
    <row r="913" s="46" customFormat="1" x14ac:dyDescent="0.2"/>
    <row r="914" s="46" customFormat="1" x14ac:dyDescent="0.2"/>
    <row r="915" s="46" customFormat="1" x14ac:dyDescent="0.2"/>
    <row r="916" s="46" customFormat="1" x14ac:dyDescent="0.2"/>
    <row r="917" s="46" customFormat="1" x14ac:dyDescent="0.2"/>
    <row r="918" s="46" customFormat="1" x14ac:dyDescent="0.2"/>
    <row r="919" s="46" customFormat="1" x14ac:dyDescent="0.2"/>
    <row r="920" s="46" customFormat="1" x14ac:dyDescent="0.2"/>
    <row r="921" s="46" customFormat="1" x14ac:dyDescent="0.2"/>
    <row r="922" s="46" customFormat="1" x14ac:dyDescent="0.2"/>
    <row r="923" s="46" customFormat="1" x14ac:dyDescent="0.2"/>
    <row r="924" s="46" customFormat="1" x14ac:dyDescent="0.2"/>
    <row r="925" s="46" customFormat="1" x14ac:dyDescent="0.2"/>
    <row r="926" s="46" customFormat="1" x14ac:dyDescent="0.2"/>
    <row r="927" s="46" customFormat="1" x14ac:dyDescent="0.2"/>
    <row r="928" s="46" customFormat="1" x14ac:dyDescent="0.2"/>
    <row r="929" s="46" customFormat="1" x14ac:dyDescent="0.2"/>
    <row r="930" s="46" customFormat="1" x14ac:dyDescent="0.2"/>
    <row r="931" s="46" customFormat="1" x14ac:dyDescent="0.2"/>
    <row r="932" s="46" customFormat="1" x14ac:dyDescent="0.2"/>
    <row r="933" s="46" customFormat="1" x14ac:dyDescent="0.2"/>
    <row r="934" s="46" customFormat="1" x14ac:dyDescent="0.2"/>
    <row r="935" s="46" customFormat="1" x14ac:dyDescent="0.2"/>
    <row r="936" s="46" customFormat="1" x14ac:dyDescent="0.2"/>
    <row r="937" s="46" customFormat="1" x14ac:dyDescent="0.2"/>
    <row r="938" s="46" customFormat="1" x14ac:dyDescent="0.2"/>
    <row r="939" s="46" customFormat="1" x14ac:dyDescent="0.2"/>
    <row r="940" s="46" customFormat="1" x14ac:dyDescent="0.2"/>
    <row r="941" s="46" customFormat="1" x14ac:dyDescent="0.2"/>
    <row r="942" s="46" customFormat="1" x14ac:dyDescent="0.2"/>
    <row r="943" s="46" customFormat="1" x14ac:dyDescent="0.2"/>
    <row r="944" s="46" customFormat="1" x14ac:dyDescent="0.2"/>
    <row r="945" s="46" customFormat="1" x14ac:dyDescent="0.2"/>
    <row r="946" s="46" customFormat="1" x14ac:dyDescent="0.2"/>
    <row r="947" s="46" customFormat="1" x14ac:dyDescent="0.2"/>
    <row r="948" s="46" customFormat="1" x14ac:dyDescent="0.2"/>
    <row r="949" s="46" customFormat="1" x14ac:dyDescent="0.2"/>
    <row r="950" s="46" customFormat="1" x14ac:dyDescent="0.2"/>
    <row r="951" s="46" customFormat="1" x14ac:dyDescent="0.2"/>
    <row r="952" s="46" customFormat="1" x14ac:dyDescent="0.2"/>
    <row r="953" s="46" customFormat="1" x14ac:dyDescent="0.2"/>
    <row r="954" s="46" customFormat="1" x14ac:dyDescent="0.2"/>
    <row r="955" s="46" customFormat="1" x14ac:dyDescent="0.2"/>
    <row r="956" s="46" customFormat="1" x14ac:dyDescent="0.2"/>
    <row r="957" s="46" customFormat="1" x14ac:dyDescent="0.2"/>
    <row r="958" s="46" customFormat="1" x14ac:dyDescent="0.2"/>
    <row r="959" s="46" customFormat="1" x14ac:dyDescent="0.2"/>
    <row r="960" s="46" customFormat="1" x14ac:dyDescent="0.2"/>
    <row r="961" s="46" customFormat="1" x14ac:dyDescent="0.2"/>
    <row r="962" s="46" customFormat="1" x14ac:dyDescent="0.2"/>
    <row r="963" s="46" customFormat="1" x14ac:dyDescent="0.2"/>
    <row r="964" s="46" customFormat="1" x14ac:dyDescent="0.2"/>
    <row r="965" s="46" customFormat="1" x14ac:dyDescent="0.2"/>
    <row r="966" s="46" customFormat="1" x14ac:dyDescent="0.2"/>
    <row r="967" s="46" customFormat="1" x14ac:dyDescent="0.2"/>
    <row r="968" s="46" customFormat="1" x14ac:dyDescent="0.2"/>
    <row r="969" s="46" customFormat="1" x14ac:dyDescent="0.2"/>
    <row r="970" s="46" customFormat="1" x14ac:dyDescent="0.2"/>
    <row r="971" s="46" customFormat="1" x14ac:dyDescent="0.2"/>
    <row r="972" s="46" customFormat="1" x14ac:dyDescent="0.2"/>
    <row r="973" s="46" customFormat="1" x14ac:dyDescent="0.2"/>
    <row r="974" s="46" customFormat="1" x14ac:dyDescent="0.2"/>
    <row r="975" s="46" customFormat="1" x14ac:dyDescent="0.2"/>
    <row r="976" s="46" customFormat="1" x14ac:dyDescent="0.2"/>
    <row r="977" s="46" customFormat="1" x14ac:dyDescent="0.2"/>
    <row r="978" s="46" customFormat="1" x14ac:dyDescent="0.2"/>
    <row r="979" s="46" customFormat="1" x14ac:dyDescent="0.2"/>
    <row r="980" s="46" customFormat="1" x14ac:dyDescent="0.2"/>
    <row r="981" s="46" customFormat="1" x14ac:dyDescent="0.2"/>
    <row r="982" s="46" customFormat="1" x14ac:dyDescent="0.2"/>
    <row r="983" s="46" customFormat="1" x14ac:dyDescent="0.2"/>
    <row r="984" s="46" customFormat="1" x14ac:dyDescent="0.2"/>
    <row r="985" s="46" customFormat="1" x14ac:dyDescent="0.2"/>
    <row r="986" s="46" customFormat="1" x14ac:dyDescent="0.2"/>
    <row r="987" s="46" customFormat="1" x14ac:dyDescent="0.2"/>
    <row r="988" s="46" customFormat="1" x14ac:dyDescent="0.2"/>
    <row r="989" s="46" customFormat="1" x14ac:dyDescent="0.2"/>
    <row r="990" s="46" customFormat="1" x14ac:dyDescent="0.2"/>
    <row r="991" s="46" customFormat="1" x14ac:dyDescent="0.2"/>
    <row r="992" s="46" customFormat="1" x14ac:dyDescent="0.2"/>
    <row r="993" s="46" customFormat="1" x14ac:dyDescent="0.2"/>
    <row r="994" s="46" customFormat="1" x14ac:dyDescent="0.2"/>
    <row r="995" s="46" customFormat="1" x14ac:dyDescent="0.2"/>
    <row r="996" s="46" customFormat="1" x14ac:dyDescent="0.2"/>
    <row r="997" s="46" customFormat="1" x14ac:dyDescent="0.2"/>
    <row r="998" s="46" customFormat="1" x14ac:dyDescent="0.2"/>
    <row r="999" s="46" customFormat="1" x14ac:dyDescent="0.2"/>
    <row r="1000" s="46" customFormat="1" x14ac:dyDescent="0.2"/>
    <row r="1001" s="46" customFormat="1" x14ac:dyDescent="0.2"/>
    <row r="1002" s="46" customFormat="1" x14ac:dyDescent="0.2"/>
    <row r="1003" s="46" customFormat="1" x14ac:dyDescent="0.2"/>
    <row r="1004" s="46" customFormat="1" x14ac:dyDescent="0.2"/>
    <row r="1005" s="46" customFormat="1" x14ac:dyDescent="0.2"/>
    <row r="1006" s="46" customFormat="1" x14ac:dyDescent="0.2"/>
    <row r="1007" s="46" customFormat="1" x14ac:dyDescent="0.2"/>
    <row r="1008" s="46" customFormat="1" x14ac:dyDescent="0.2"/>
    <row r="1009" s="46" customFormat="1" x14ac:dyDescent="0.2"/>
    <row r="1010" s="46" customFormat="1" x14ac:dyDescent="0.2"/>
    <row r="1011" s="46" customFormat="1" x14ac:dyDescent="0.2"/>
    <row r="1012" s="46" customFormat="1" x14ac:dyDescent="0.2"/>
    <row r="1013" s="46" customFormat="1" x14ac:dyDescent="0.2"/>
    <row r="1014" s="46" customFormat="1" x14ac:dyDescent="0.2"/>
    <row r="1015" s="46" customFormat="1" x14ac:dyDescent="0.2"/>
    <row r="1016" s="46" customFormat="1" x14ac:dyDescent="0.2"/>
    <row r="1017" s="46" customFormat="1" x14ac:dyDescent="0.2"/>
    <row r="1018" s="46" customFormat="1" x14ac:dyDescent="0.2"/>
    <row r="1019" s="46" customFormat="1" x14ac:dyDescent="0.2"/>
    <row r="1020" s="46" customFormat="1" x14ac:dyDescent="0.2"/>
    <row r="1021" s="46" customFormat="1" x14ac:dyDescent="0.2"/>
    <row r="1022" s="46" customFormat="1" x14ac:dyDescent="0.2"/>
    <row r="1023" s="46" customFormat="1" x14ac:dyDescent="0.2"/>
    <row r="1024" s="46" customFormat="1" x14ac:dyDescent="0.2"/>
    <row r="1025" s="46" customFormat="1" x14ac:dyDescent="0.2"/>
    <row r="1026" s="46" customFormat="1" x14ac:dyDescent="0.2"/>
    <row r="1027" s="46" customFormat="1" x14ac:dyDescent="0.2"/>
    <row r="1028" s="46" customFormat="1" x14ac:dyDescent="0.2"/>
    <row r="1029" s="46" customFormat="1" x14ac:dyDescent="0.2"/>
    <row r="1030" s="46" customFormat="1" x14ac:dyDescent="0.2"/>
    <row r="1031" s="46" customFormat="1" x14ac:dyDescent="0.2"/>
    <row r="1032" s="46" customFormat="1" x14ac:dyDescent="0.2"/>
    <row r="1033" s="46" customFormat="1" x14ac:dyDescent="0.2"/>
    <row r="1034" s="46" customFormat="1" x14ac:dyDescent="0.2"/>
    <row r="1035" s="46" customFormat="1" x14ac:dyDescent="0.2"/>
    <row r="1036" s="46" customFormat="1" x14ac:dyDescent="0.2"/>
    <row r="1037" s="46" customFormat="1" x14ac:dyDescent="0.2"/>
    <row r="1038" s="46" customFormat="1" x14ac:dyDescent="0.2"/>
    <row r="1039" s="46" customFormat="1" x14ac:dyDescent="0.2"/>
    <row r="1040" s="46" customFormat="1" x14ac:dyDescent="0.2"/>
    <row r="1041" s="46" customFormat="1" x14ac:dyDescent="0.2"/>
    <row r="1042" s="46" customFormat="1" x14ac:dyDescent="0.2"/>
    <row r="1043" s="46" customFormat="1" x14ac:dyDescent="0.2"/>
    <row r="1044" s="46" customFormat="1" x14ac:dyDescent="0.2"/>
    <row r="1045" s="46" customFormat="1" x14ac:dyDescent="0.2"/>
    <row r="1046" s="46" customFormat="1" x14ac:dyDescent="0.2"/>
    <row r="1047" s="46" customFormat="1" x14ac:dyDescent="0.2"/>
    <row r="1048" s="46" customFormat="1" x14ac:dyDescent="0.2"/>
    <row r="1049" s="46" customFormat="1" x14ac:dyDescent="0.2"/>
    <row r="1050" s="46" customFormat="1" x14ac:dyDescent="0.2"/>
    <row r="1051" s="46" customFormat="1" x14ac:dyDescent="0.2"/>
    <row r="1052" s="46" customFormat="1" x14ac:dyDescent="0.2"/>
    <row r="1053" s="46" customFormat="1" x14ac:dyDescent="0.2"/>
    <row r="1054" s="46" customFormat="1" x14ac:dyDescent="0.2"/>
    <row r="1055" s="46" customFormat="1" x14ac:dyDescent="0.2"/>
    <row r="1056" s="46" customFormat="1" x14ac:dyDescent="0.2"/>
    <row r="1057" s="46" customFormat="1" x14ac:dyDescent="0.2"/>
    <row r="1058" s="46" customFormat="1" x14ac:dyDescent="0.2"/>
    <row r="1059" s="46" customFormat="1" x14ac:dyDescent="0.2"/>
    <row r="1060" s="46" customFormat="1" x14ac:dyDescent="0.2"/>
    <row r="1061" s="46" customFormat="1" x14ac:dyDescent="0.2"/>
    <row r="1062" s="46" customFormat="1" x14ac:dyDescent="0.2"/>
    <row r="1063" s="46" customFormat="1" x14ac:dyDescent="0.2"/>
    <row r="1064" s="46" customFormat="1" x14ac:dyDescent="0.2"/>
    <row r="1065" s="46" customFormat="1" x14ac:dyDescent="0.2"/>
    <row r="1066" s="46" customFormat="1" x14ac:dyDescent="0.2"/>
    <row r="1067" s="46" customFormat="1" x14ac:dyDescent="0.2"/>
    <row r="1068" s="46" customFormat="1" x14ac:dyDescent="0.2"/>
    <row r="1069" s="46" customFormat="1" x14ac:dyDescent="0.2"/>
    <row r="1070" s="46" customFormat="1" x14ac:dyDescent="0.2"/>
    <row r="1071" s="46" customFormat="1" x14ac:dyDescent="0.2"/>
    <row r="1072" s="46" customFormat="1" x14ac:dyDescent="0.2"/>
    <row r="1073" s="46" customFormat="1" x14ac:dyDescent="0.2"/>
    <row r="1074" s="46" customFormat="1" x14ac:dyDescent="0.2"/>
    <row r="1075" s="46" customFormat="1" x14ac:dyDescent="0.2"/>
    <row r="1076" s="46" customFormat="1" x14ac:dyDescent="0.2"/>
    <row r="1077" s="46" customFormat="1" x14ac:dyDescent="0.2"/>
    <row r="1078" s="46" customFormat="1" x14ac:dyDescent="0.2"/>
    <row r="1079" s="46" customFormat="1" x14ac:dyDescent="0.2"/>
    <row r="1080" s="46" customFormat="1" x14ac:dyDescent="0.2"/>
    <row r="1081" s="46" customFormat="1" x14ac:dyDescent="0.2"/>
    <row r="1082" s="46" customFormat="1" x14ac:dyDescent="0.2"/>
    <row r="1083" s="46" customFormat="1" x14ac:dyDescent="0.2"/>
    <row r="1084" s="46" customFormat="1" x14ac:dyDescent="0.2"/>
    <row r="1085" s="46" customFormat="1" x14ac:dyDescent="0.2"/>
    <row r="1086" s="46" customFormat="1" x14ac:dyDescent="0.2"/>
    <row r="1087" s="46" customFormat="1" x14ac:dyDescent="0.2"/>
    <row r="1088" s="46" customFormat="1" x14ac:dyDescent="0.2"/>
    <row r="1089" s="46" customFormat="1" x14ac:dyDescent="0.2"/>
    <row r="1090" s="46" customFormat="1" x14ac:dyDescent="0.2"/>
    <row r="1091" s="46" customFormat="1" x14ac:dyDescent="0.2"/>
    <row r="1092" s="46" customFormat="1" x14ac:dyDescent="0.2"/>
    <row r="1093" s="46" customFormat="1" x14ac:dyDescent="0.2"/>
    <row r="1094" s="46" customFormat="1" x14ac:dyDescent="0.2"/>
    <row r="1095" s="46" customFormat="1" x14ac:dyDescent="0.2"/>
    <row r="1096" s="46" customFormat="1" x14ac:dyDescent="0.2"/>
    <row r="1097" s="46" customFormat="1" x14ac:dyDescent="0.2"/>
    <row r="1098" s="46" customFormat="1" x14ac:dyDescent="0.2"/>
    <row r="1099" s="46" customFormat="1" x14ac:dyDescent="0.2"/>
    <row r="1100" s="46" customFormat="1" x14ac:dyDescent="0.2"/>
    <row r="1101" s="46" customFormat="1" x14ac:dyDescent="0.2"/>
    <row r="1102" s="46" customFormat="1" x14ac:dyDescent="0.2"/>
    <row r="1103" s="46" customFormat="1" x14ac:dyDescent="0.2"/>
    <row r="1104" s="46" customFormat="1" x14ac:dyDescent="0.2"/>
    <row r="1105" s="46" customFormat="1" x14ac:dyDescent="0.2"/>
    <row r="1106" s="46" customFormat="1" x14ac:dyDescent="0.2"/>
    <row r="1107" s="46" customFormat="1" x14ac:dyDescent="0.2"/>
    <row r="1108" s="46" customFormat="1" x14ac:dyDescent="0.2"/>
    <row r="1109" s="46" customFormat="1" x14ac:dyDescent="0.2"/>
    <row r="1110" s="46" customFormat="1" x14ac:dyDescent="0.2"/>
    <row r="1111" s="46" customFormat="1" x14ac:dyDescent="0.2"/>
    <row r="1112" s="46" customFormat="1" x14ac:dyDescent="0.2"/>
    <row r="1113" s="46" customFormat="1" x14ac:dyDescent="0.2"/>
    <row r="1114" s="46" customFormat="1" x14ac:dyDescent="0.2"/>
    <row r="1115" s="46" customFormat="1" x14ac:dyDescent="0.2"/>
    <row r="1116" s="46" customFormat="1" x14ac:dyDescent="0.2"/>
    <row r="1117" s="46" customFormat="1" x14ac:dyDescent="0.2"/>
    <row r="1118" s="46" customFormat="1" x14ac:dyDescent="0.2"/>
    <row r="1119" s="46" customFormat="1" x14ac:dyDescent="0.2"/>
    <row r="1120" s="46" customFormat="1" x14ac:dyDescent="0.2"/>
    <row r="1121" s="46" customFormat="1" x14ac:dyDescent="0.2"/>
    <row r="1122" s="46" customFormat="1" x14ac:dyDescent="0.2"/>
    <row r="1123" s="46" customFormat="1" x14ac:dyDescent="0.2"/>
    <row r="1124" s="46" customFormat="1" x14ac:dyDescent="0.2"/>
    <row r="1125" s="46" customFormat="1" x14ac:dyDescent="0.2"/>
    <row r="1126" s="46" customFormat="1" x14ac:dyDescent="0.2"/>
    <row r="1127" s="46" customFormat="1" x14ac:dyDescent="0.2"/>
    <row r="1128" s="46" customFormat="1" x14ac:dyDescent="0.2"/>
    <row r="1129" s="46" customFormat="1" x14ac:dyDescent="0.2"/>
    <row r="1130" s="46" customFormat="1" x14ac:dyDescent="0.2"/>
    <row r="1131" s="46" customFormat="1" x14ac:dyDescent="0.2"/>
    <row r="1132" s="46" customFormat="1" x14ac:dyDescent="0.2"/>
    <row r="1133" s="46" customFormat="1" x14ac:dyDescent="0.2"/>
    <row r="1134" s="46" customFormat="1" x14ac:dyDescent="0.2"/>
    <row r="1135" s="46" customFormat="1" x14ac:dyDescent="0.2"/>
    <row r="1136" s="46" customFormat="1" x14ac:dyDescent="0.2"/>
    <row r="1137" s="46" customFormat="1" x14ac:dyDescent="0.2"/>
    <row r="1138" s="46" customFormat="1" x14ac:dyDescent="0.2"/>
    <row r="1139" s="46" customFormat="1" x14ac:dyDescent="0.2"/>
    <row r="1140" s="46" customFormat="1" x14ac:dyDescent="0.2"/>
    <row r="1141" s="46" customFormat="1" x14ac:dyDescent="0.2"/>
    <row r="1142" s="46" customFormat="1" x14ac:dyDescent="0.2"/>
    <row r="1143" s="46" customFormat="1" x14ac:dyDescent="0.2"/>
    <row r="1144" s="46" customFormat="1" x14ac:dyDescent="0.2"/>
    <row r="1145" s="46" customFormat="1" x14ac:dyDescent="0.2"/>
    <row r="1146" s="46" customFormat="1" x14ac:dyDescent="0.2"/>
    <row r="1147" s="46" customFormat="1" x14ac:dyDescent="0.2"/>
    <row r="1148" s="46" customFormat="1" x14ac:dyDescent="0.2"/>
    <row r="1149" s="46" customFormat="1" x14ac:dyDescent="0.2"/>
    <row r="1150" s="46" customFormat="1" x14ac:dyDescent="0.2"/>
    <row r="1151" s="46" customFormat="1" x14ac:dyDescent="0.2"/>
    <row r="1152" s="46" customFormat="1" x14ac:dyDescent="0.2"/>
    <row r="1153" s="46" customFormat="1" x14ac:dyDescent="0.2"/>
    <row r="1154" s="46" customFormat="1" x14ac:dyDescent="0.2"/>
    <row r="1155" s="46" customFormat="1" x14ac:dyDescent="0.2"/>
    <row r="1156" s="46" customFormat="1" x14ac:dyDescent="0.2"/>
    <row r="1157" s="46" customFormat="1" x14ac:dyDescent="0.2"/>
    <row r="1158" s="46" customFormat="1" x14ac:dyDescent="0.2"/>
    <row r="1159" s="46" customFormat="1" x14ac:dyDescent="0.2"/>
    <row r="1160" s="46" customFormat="1" x14ac:dyDescent="0.2"/>
    <row r="1161" s="46" customFormat="1" x14ac:dyDescent="0.2"/>
    <row r="1162" s="46" customFormat="1" x14ac:dyDescent="0.2"/>
    <row r="1163" s="46" customFormat="1" x14ac:dyDescent="0.2"/>
    <row r="1164" s="46" customFormat="1" x14ac:dyDescent="0.2"/>
    <row r="1165" s="46" customFormat="1" x14ac:dyDescent="0.2"/>
    <row r="1166" s="46" customFormat="1" x14ac:dyDescent="0.2"/>
    <row r="1167" s="46" customFormat="1" x14ac:dyDescent="0.2"/>
    <row r="1168" s="46" customFormat="1" x14ac:dyDescent="0.2"/>
    <row r="1169" s="46" customFormat="1" x14ac:dyDescent="0.2"/>
    <row r="1170" s="46" customFormat="1" x14ac:dyDescent="0.2"/>
    <row r="1171" s="46" customFormat="1" x14ac:dyDescent="0.2"/>
    <row r="1172" s="46" customFormat="1" x14ac:dyDescent="0.2"/>
    <row r="1173" s="46" customFormat="1" x14ac:dyDescent="0.2"/>
    <row r="1174" s="46" customFormat="1" x14ac:dyDescent="0.2"/>
    <row r="1175" s="46" customFormat="1" x14ac:dyDescent="0.2"/>
    <row r="1176" s="46" customFormat="1" x14ac:dyDescent="0.2"/>
    <row r="1177" s="46" customFormat="1" x14ac:dyDescent="0.2"/>
    <row r="1178" s="46" customFormat="1" x14ac:dyDescent="0.2"/>
    <row r="1179" s="46" customFormat="1" x14ac:dyDescent="0.2"/>
    <row r="1180" s="46" customFormat="1" x14ac:dyDescent="0.2"/>
    <row r="1181" s="46" customFormat="1" x14ac:dyDescent="0.2"/>
    <row r="1182" s="46" customFormat="1" x14ac:dyDescent="0.2"/>
    <row r="1183" s="46" customFormat="1" x14ac:dyDescent="0.2"/>
    <row r="1184" s="46" customFormat="1" x14ac:dyDescent="0.2"/>
    <row r="1185" s="46" customFormat="1" x14ac:dyDescent="0.2"/>
    <row r="1186" s="46" customFormat="1" x14ac:dyDescent="0.2"/>
    <row r="1187" s="46" customFormat="1" x14ac:dyDescent="0.2"/>
    <row r="1188" s="46" customFormat="1" x14ac:dyDescent="0.2"/>
    <row r="1189" s="46" customFormat="1" x14ac:dyDescent="0.2"/>
    <row r="1190" s="46" customFormat="1" x14ac:dyDescent="0.2"/>
    <row r="1191" s="46" customFormat="1" x14ac:dyDescent="0.2"/>
    <row r="1192" s="46" customFormat="1" x14ac:dyDescent="0.2"/>
    <row r="1193" s="46" customFormat="1" x14ac:dyDescent="0.2"/>
    <row r="1194" s="46" customFormat="1" x14ac:dyDescent="0.2"/>
    <row r="1195" s="46" customFormat="1" x14ac:dyDescent="0.2"/>
    <row r="1196" s="46" customFormat="1" x14ac:dyDescent="0.2"/>
    <row r="1197" s="46" customFormat="1" x14ac:dyDescent="0.2"/>
    <row r="1198" s="46" customFormat="1" x14ac:dyDescent="0.2"/>
    <row r="1199" s="46" customFormat="1" x14ac:dyDescent="0.2"/>
    <row r="1200" s="46" customFormat="1" x14ac:dyDescent="0.2"/>
    <row r="1201" s="46" customFormat="1" x14ac:dyDescent="0.2"/>
    <row r="1202" s="46" customFormat="1" x14ac:dyDescent="0.2"/>
    <row r="1203" s="46" customFormat="1" x14ac:dyDescent="0.2"/>
    <row r="1204" s="46" customFormat="1" x14ac:dyDescent="0.2"/>
    <row r="1205" s="46" customFormat="1" x14ac:dyDescent="0.2"/>
    <row r="1206" s="46" customFormat="1" x14ac:dyDescent="0.2"/>
    <row r="1207" s="46" customFormat="1" x14ac:dyDescent="0.2"/>
    <row r="1208" s="46" customFormat="1" x14ac:dyDescent="0.2"/>
    <row r="1209" s="46" customFormat="1" x14ac:dyDescent="0.2"/>
    <row r="1210" s="46" customFormat="1" x14ac:dyDescent="0.2"/>
    <row r="1211" s="46" customFormat="1" x14ac:dyDescent="0.2"/>
    <row r="1212" s="46" customFormat="1" x14ac:dyDescent="0.2"/>
    <row r="1213" s="46" customFormat="1" x14ac:dyDescent="0.2"/>
    <row r="1214" s="46" customFormat="1" x14ac:dyDescent="0.2"/>
    <row r="1215" s="46" customFormat="1" x14ac:dyDescent="0.2"/>
    <row r="1216" s="46" customFormat="1" x14ac:dyDescent="0.2"/>
    <row r="1217" s="46" customFormat="1" x14ac:dyDescent="0.2"/>
    <row r="1218" s="46" customFormat="1" x14ac:dyDescent="0.2"/>
    <row r="1219" s="46" customFormat="1" x14ac:dyDescent="0.2"/>
    <row r="1220" s="46" customFormat="1" x14ac:dyDescent="0.2"/>
    <row r="1221" s="46" customFormat="1" x14ac:dyDescent="0.2"/>
    <row r="1222" s="46" customFormat="1" x14ac:dyDescent="0.2"/>
    <row r="1223" s="46" customFormat="1" x14ac:dyDescent="0.2"/>
    <row r="1224" s="46" customFormat="1" x14ac:dyDescent="0.2"/>
    <row r="1225" s="46" customFormat="1" x14ac:dyDescent="0.2"/>
    <row r="1226" s="46" customFormat="1" x14ac:dyDescent="0.2"/>
    <row r="1227" s="46" customFormat="1" x14ac:dyDescent="0.2"/>
    <row r="1228" s="46" customFormat="1" x14ac:dyDescent="0.2"/>
    <row r="1229" s="46" customFormat="1" x14ac:dyDescent="0.2"/>
    <row r="1230" s="46" customFormat="1" x14ac:dyDescent="0.2"/>
    <row r="1231" s="46" customFormat="1" x14ac:dyDescent="0.2"/>
    <row r="1232" s="46" customFormat="1" x14ac:dyDescent="0.2"/>
    <row r="1233" s="46" customFormat="1" x14ac:dyDescent="0.2"/>
    <row r="1234" s="46" customFormat="1" x14ac:dyDescent="0.2"/>
    <row r="1235" s="46" customFormat="1" x14ac:dyDescent="0.2"/>
    <row r="1236" s="46" customFormat="1" x14ac:dyDescent="0.2"/>
    <row r="1237" s="46" customFormat="1" x14ac:dyDescent="0.2"/>
    <row r="1238" s="46" customFormat="1" x14ac:dyDescent="0.2"/>
    <row r="1239" s="46" customFormat="1" x14ac:dyDescent="0.2"/>
    <row r="1240" s="46" customFormat="1" x14ac:dyDescent="0.2"/>
    <row r="1241" s="46" customFormat="1" x14ac:dyDescent="0.2"/>
    <row r="1242" s="46" customFormat="1" x14ac:dyDescent="0.2"/>
    <row r="1243" s="46" customFormat="1" x14ac:dyDescent="0.2"/>
    <row r="1244" s="46" customFormat="1" x14ac:dyDescent="0.2"/>
    <row r="1245" s="46" customFormat="1" x14ac:dyDescent="0.2"/>
    <row r="1246" s="46" customFormat="1" x14ac:dyDescent="0.2"/>
    <row r="1247" s="46" customFormat="1" x14ac:dyDescent="0.2"/>
    <row r="1248" s="46" customFormat="1" x14ac:dyDescent="0.2"/>
    <row r="1249" s="46" customFormat="1" x14ac:dyDescent="0.2"/>
    <row r="1250" s="46" customFormat="1" x14ac:dyDescent="0.2"/>
    <row r="1251" s="46" customFormat="1" x14ac:dyDescent="0.2"/>
    <row r="1252" s="46" customFormat="1" x14ac:dyDescent="0.2"/>
    <row r="1253" s="46" customFormat="1" x14ac:dyDescent="0.2"/>
    <row r="1254" s="46" customFormat="1" x14ac:dyDescent="0.2"/>
    <row r="1255" s="46" customFormat="1" x14ac:dyDescent="0.2"/>
    <row r="1256" s="46" customFormat="1" x14ac:dyDescent="0.2"/>
    <row r="1257" s="46" customFormat="1" x14ac:dyDescent="0.2"/>
    <row r="1258" s="46" customFormat="1" x14ac:dyDescent="0.2"/>
    <row r="1259" s="46" customFormat="1" x14ac:dyDescent="0.2"/>
    <row r="1260" s="46" customFormat="1" x14ac:dyDescent="0.2"/>
    <row r="1261" s="46" customFormat="1" x14ac:dyDescent="0.2"/>
    <row r="1262" s="46" customFormat="1" x14ac:dyDescent="0.2"/>
    <row r="1263" s="46" customFormat="1" x14ac:dyDescent="0.2"/>
    <row r="1264" s="46" customFormat="1" x14ac:dyDescent="0.2"/>
    <row r="1265" s="46" customFormat="1" x14ac:dyDescent="0.2"/>
    <row r="1266" s="46" customFormat="1" x14ac:dyDescent="0.2"/>
    <row r="1267" s="46" customFormat="1" x14ac:dyDescent="0.2"/>
    <row r="1268" s="46" customFormat="1" x14ac:dyDescent="0.2"/>
    <row r="1269" s="46" customFormat="1" x14ac:dyDescent="0.2"/>
    <row r="1270" s="46" customFormat="1" x14ac:dyDescent="0.2"/>
    <row r="1271" s="46" customFormat="1" x14ac:dyDescent="0.2"/>
    <row r="1272" s="46" customFormat="1" x14ac:dyDescent="0.2"/>
    <row r="1273" s="46" customFormat="1" x14ac:dyDescent="0.2"/>
    <row r="1274" s="46" customFormat="1" x14ac:dyDescent="0.2"/>
    <row r="1275" s="46" customFormat="1" x14ac:dyDescent="0.2"/>
    <row r="1276" s="46" customFormat="1" x14ac:dyDescent="0.2"/>
    <row r="1277" s="46" customFormat="1" x14ac:dyDescent="0.2"/>
    <row r="1278" s="46" customFormat="1" x14ac:dyDescent="0.2"/>
    <row r="1279" s="46" customFormat="1" x14ac:dyDescent="0.2"/>
    <row r="1280" s="46" customFormat="1" x14ac:dyDescent="0.2"/>
    <row r="1281" s="46" customFormat="1" x14ac:dyDescent="0.2"/>
    <row r="1282" s="46" customFormat="1" x14ac:dyDescent="0.2"/>
    <row r="1283" s="46" customFormat="1" x14ac:dyDescent="0.2"/>
    <row r="1284" s="46" customFormat="1" x14ac:dyDescent="0.2"/>
    <row r="1285" s="46" customFormat="1" x14ac:dyDescent="0.2"/>
    <row r="1286" s="46" customFormat="1" x14ac:dyDescent="0.2"/>
    <row r="1287" s="46" customFormat="1" x14ac:dyDescent="0.2"/>
    <row r="1288" s="46" customFormat="1" x14ac:dyDescent="0.2"/>
    <row r="1289" s="46" customFormat="1" x14ac:dyDescent="0.2"/>
    <row r="1290" s="46" customFormat="1" x14ac:dyDescent="0.2"/>
    <row r="1291" s="46" customFormat="1" x14ac:dyDescent="0.2"/>
    <row r="1292" s="46" customFormat="1" x14ac:dyDescent="0.2"/>
    <row r="1293" s="46" customFormat="1" x14ac:dyDescent="0.2"/>
    <row r="1294" s="46" customFormat="1" x14ac:dyDescent="0.2"/>
    <row r="1295" s="46" customFormat="1" x14ac:dyDescent="0.2"/>
    <row r="1296" s="46" customFormat="1" x14ac:dyDescent="0.2"/>
    <row r="1297" s="46" customFormat="1" x14ac:dyDescent="0.2"/>
    <row r="1298" s="46" customFormat="1" x14ac:dyDescent="0.2"/>
    <row r="1299" s="46" customFormat="1" x14ac:dyDescent="0.2"/>
    <row r="1300" s="46" customFormat="1" x14ac:dyDescent="0.2"/>
    <row r="1301" s="46" customFormat="1" x14ac:dyDescent="0.2"/>
    <row r="1302" s="46" customFormat="1" x14ac:dyDescent="0.2"/>
    <row r="1303" s="46" customFormat="1" x14ac:dyDescent="0.2"/>
    <row r="1304" s="46" customFormat="1" x14ac:dyDescent="0.2"/>
    <row r="1305" s="46" customFormat="1" x14ac:dyDescent="0.2"/>
    <row r="1306" s="46" customFormat="1" x14ac:dyDescent="0.2"/>
    <row r="1307" s="46" customFormat="1" x14ac:dyDescent="0.2"/>
    <row r="1308" s="46" customFormat="1" x14ac:dyDescent="0.2"/>
    <row r="1309" s="46" customFormat="1" x14ac:dyDescent="0.2"/>
    <row r="1310" s="46" customFormat="1" x14ac:dyDescent="0.2"/>
    <row r="1311" s="46" customFormat="1" x14ac:dyDescent="0.2"/>
    <row r="1312" s="46" customFormat="1" x14ac:dyDescent="0.2"/>
    <row r="1313" s="46" customFormat="1" x14ac:dyDescent="0.2"/>
    <row r="1314" s="46" customFormat="1" x14ac:dyDescent="0.2"/>
    <row r="1315" s="46" customFormat="1" x14ac:dyDescent="0.2"/>
    <row r="1316" s="46" customFormat="1" x14ac:dyDescent="0.2"/>
    <row r="1317" s="46" customFormat="1" x14ac:dyDescent="0.2"/>
    <row r="1318" s="46" customFormat="1" x14ac:dyDescent="0.2"/>
    <row r="1319" s="46" customFormat="1" x14ac:dyDescent="0.2"/>
    <row r="1320" s="46" customFormat="1" x14ac:dyDescent="0.2"/>
    <row r="1321" s="46" customFormat="1" x14ac:dyDescent="0.2"/>
    <row r="1322" s="46" customFormat="1" x14ac:dyDescent="0.2"/>
    <row r="1323" s="46" customFormat="1" x14ac:dyDescent="0.2"/>
    <row r="1324" s="46" customFormat="1" x14ac:dyDescent="0.2"/>
    <row r="1325" s="46" customFormat="1" x14ac:dyDescent="0.2"/>
    <row r="1326" s="46" customFormat="1" x14ac:dyDescent="0.2"/>
    <row r="1327" s="46" customFormat="1" x14ac:dyDescent="0.2"/>
    <row r="1328" s="46" customFormat="1" x14ac:dyDescent="0.2"/>
    <row r="1329" s="46" customFormat="1" x14ac:dyDescent="0.2"/>
    <row r="1330" s="46" customFormat="1" x14ac:dyDescent="0.2"/>
    <row r="1331" s="46" customFormat="1" x14ac:dyDescent="0.2"/>
    <row r="1332" s="46" customFormat="1" x14ac:dyDescent="0.2"/>
    <row r="1333" s="46" customFormat="1" x14ac:dyDescent="0.2"/>
    <row r="1334" s="46" customFormat="1" x14ac:dyDescent="0.2"/>
    <row r="1335" s="46" customFormat="1" x14ac:dyDescent="0.2"/>
    <row r="1336" s="46" customFormat="1" x14ac:dyDescent="0.2"/>
    <row r="1337" s="46" customFormat="1" x14ac:dyDescent="0.2"/>
    <row r="1338" s="46" customFormat="1" x14ac:dyDescent="0.2"/>
    <row r="1339" s="46" customFormat="1" x14ac:dyDescent="0.2"/>
    <row r="1340" s="46" customFormat="1" x14ac:dyDescent="0.2"/>
    <row r="1341" s="46" customFormat="1" x14ac:dyDescent="0.2"/>
    <row r="1342" s="46" customFormat="1" x14ac:dyDescent="0.2"/>
    <row r="1343" s="46" customFormat="1" x14ac:dyDescent="0.2"/>
    <row r="1344" s="46" customFormat="1" x14ac:dyDescent="0.2"/>
    <row r="1345" s="46" customFormat="1" x14ac:dyDescent="0.2"/>
    <row r="1346" s="46" customFormat="1" x14ac:dyDescent="0.2"/>
    <row r="1347" s="46" customFormat="1" x14ac:dyDescent="0.2"/>
    <row r="1348" s="46" customFormat="1" x14ac:dyDescent="0.2"/>
    <row r="1349" s="46" customFormat="1" x14ac:dyDescent="0.2"/>
    <row r="1350" s="46" customFormat="1" x14ac:dyDescent="0.2"/>
    <row r="1351" s="46" customFormat="1" x14ac:dyDescent="0.2"/>
    <row r="1352" s="46" customFormat="1" x14ac:dyDescent="0.2"/>
    <row r="1353" s="46" customFormat="1" x14ac:dyDescent="0.2"/>
    <row r="1354" s="46" customFormat="1" x14ac:dyDescent="0.2"/>
    <row r="1355" s="46" customFormat="1" x14ac:dyDescent="0.2"/>
    <row r="1356" s="46" customFormat="1" x14ac:dyDescent="0.2"/>
    <row r="1357" s="46" customFormat="1" x14ac:dyDescent="0.2"/>
    <row r="1358" s="46" customFormat="1" x14ac:dyDescent="0.2"/>
    <row r="1359" s="46" customFormat="1" x14ac:dyDescent="0.2"/>
    <row r="1360" s="46" customFormat="1" x14ac:dyDescent="0.2"/>
    <row r="1361" s="46" customFormat="1" x14ac:dyDescent="0.2"/>
    <row r="1362" s="46" customFormat="1" x14ac:dyDescent="0.2"/>
    <row r="1363" s="46" customFormat="1" x14ac:dyDescent="0.2"/>
    <row r="1364" s="46" customFormat="1" x14ac:dyDescent="0.2"/>
    <row r="1365" s="46" customFormat="1" x14ac:dyDescent="0.2"/>
    <row r="1366" s="46" customFormat="1" x14ac:dyDescent="0.2"/>
    <row r="1367" s="46" customFormat="1" x14ac:dyDescent="0.2"/>
    <row r="1368" s="46" customFormat="1" x14ac:dyDescent="0.2"/>
    <row r="1369" s="46" customFormat="1" x14ac:dyDescent="0.2"/>
    <row r="1370" s="46" customFormat="1" x14ac:dyDescent="0.2"/>
    <row r="1371" s="46" customFormat="1" x14ac:dyDescent="0.2"/>
    <row r="1372" s="46" customFormat="1" x14ac:dyDescent="0.2"/>
    <row r="1373" s="46" customFormat="1" x14ac:dyDescent="0.2"/>
    <row r="1374" s="46" customFormat="1" x14ac:dyDescent="0.2"/>
    <row r="1375" s="46" customFormat="1" x14ac:dyDescent="0.2"/>
    <row r="1376" s="46" customFormat="1" x14ac:dyDescent="0.2"/>
    <row r="1377" s="46" customFormat="1" x14ac:dyDescent="0.2"/>
    <row r="1378" s="46" customFormat="1" x14ac:dyDescent="0.2"/>
    <row r="1379" s="46" customFormat="1" x14ac:dyDescent="0.2"/>
    <row r="1380" s="46" customFormat="1" x14ac:dyDescent="0.2"/>
    <row r="1381" s="46" customFormat="1" x14ac:dyDescent="0.2"/>
    <row r="1382" s="46" customFormat="1" x14ac:dyDescent="0.2"/>
    <row r="1383" s="46" customFormat="1" x14ac:dyDescent="0.2"/>
    <row r="1384" s="46" customFormat="1" x14ac:dyDescent="0.2"/>
    <row r="1385" s="46" customFormat="1" x14ac:dyDescent="0.2"/>
    <row r="1386" s="46" customFormat="1" x14ac:dyDescent="0.2"/>
    <row r="1387" s="46" customFormat="1" x14ac:dyDescent="0.2"/>
    <row r="1388" s="46" customFormat="1" x14ac:dyDescent="0.2"/>
    <row r="1389" s="46" customFormat="1" x14ac:dyDescent="0.2"/>
    <row r="1390" s="46" customFormat="1" x14ac:dyDescent="0.2"/>
    <row r="1391" s="46" customFormat="1" x14ac:dyDescent="0.2"/>
    <row r="1392" s="46" customFormat="1" x14ac:dyDescent="0.2"/>
    <row r="1393" s="46" customFormat="1" x14ac:dyDescent="0.2"/>
    <row r="1394" s="46" customFormat="1" x14ac:dyDescent="0.2"/>
    <row r="1395" s="46" customFormat="1" x14ac:dyDescent="0.2"/>
    <row r="1396" s="46" customFormat="1" x14ac:dyDescent="0.2"/>
    <row r="1397" s="46" customFormat="1" x14ac:dyDescent="0.2"/>
    <row r="1398" s="46" customFormat="1" x14ac:dyDescent="0.2"/>
    <row r="1399" s="46" customFormat="1" x14ac:dyDescent="0.2"/>
    <row r="1400" s="46" customFormat="1" x14ac:dyDescent="0.2"/>
    <row r="1401" s="46" customFormat="1" x14ac:dyDescent="0.2"/>
    <row r="1402" s="46" customFormat="1" x14ac:dyDescent="0.2"/>
    <row r="1403" s="46" customFormat="1" x14ac:dyDescent="0.2"/>
    <row r="1404" s="46" customFormat="1" x14ac:dyDescent="0.2"/>
    <row r="1405" s="46" customFormat="1" x14ac:dyDescent="0.2"/>
    <row r="1406" s="46" customFormat="1" x14ac:dyDescent="0.2"/>
    <row r="1407" s="46" customFormat="1" x14ac:dyDescent="0.2"/>
    <row r="1408" s="46" customFormat="1" x14ac:dyDescent="0.2"/>
    <row r="1409" s="46" customFormat="1" x14ac:dyDescent="0.2"/>
    <row r="1410" s="46" customFormat="1" x14ac:dyDescent="0.2"/>
    <row r="1411" s="46" customFormat="1" x14ac:dyDescent="0.2"/>
    <row r="1412" s="46" customFormat="1" x14ac:dyDescent="0.2"/>
    <row r="1413" s="46" customFormat="1" x14ac:dyDescent="0.2"/>
    <row r="1414" s="46" customFormat="1" x14ac:dyDescent="0.2"/>
    <row r="1415" s="46" customFormat="1" x14ac:dyDescent="0.2"/>
    <row r="1416" s="46" customFormat="1" x14ac:dyDescent="0.2"/>
    <row r="1417" s="46" customFormat="1" x14ac:dyDescent="0.2"/>
    <row r="1418" s="46" customFormat="1" x14ac:dyDescent="0.2"/>
    <row r="1419" s="46" customFormat="1" x14ac:dyDescent="0.2"/>
    <row r="1420" s="46" customFormat="1" x14ac:dyDescent="0.2"/>
    <row r="1421" s="46" customFormat="1" x14ac:dyDescent="0.2"/>
    <row r="1422" s="46" customFormat="1" x14ac:dyDescent="0.2"/>
    <row r="1423" s="46" customFormat="1" x14ac:dyDescent="0.2"/>
    <row r="1424" s="46" customFormat="1" x14ac:dyDescent="0.2"/>
    <row r="1425" s="46" customFormat="1" x14ac:dyDescent="0.2"/>
    <row r="1426" s="46" customFormat="1" x14ac:dyDescent="0.2"/>
    <row r="1427" s="46" customFormat="1" x14ac:dyDescent="0.2"/>
    <row r="1428" s="46" customFormat="1" x14ac:dyDescent="0.2"/>
    <row r="1429" s="46" customFormat="1" x14ac:dyDescent="0.2"/>
    <row r="1430" s="46" customFormat="1" x14ac:dyDescent="0.2"/>
    <row r="1431" s="46" customFormat="1" x14ac:dyDescent="0.2"/>
    <row r="1432" s="46" customFormat="1" x14ac:dyDescent="0.2"/>
    <row r="1433" s="46" customFormat="1" x14ac:dyDescent="0.2"/>
    <row r="1434" s="46" customFormat="1" x14ac:dyDescent="0.2"/>
    <row r="1435" s="46" customFormat="1" x14ac:dyDescent="0.2"/>
    <row r="1436" s="46" customFormat="1" x14ac:dyDescent="0.2"/>
    <row r="1437" s="46" customFormat="1" x14ac:dyDescent="0.2"/>
    <row r="1438" s="46" customFormat="1" x14ac:dyDescent="0.2"/>
    <row r="1439" s="46" customFormat="1" x14ac:dyDescent="0.2"/>
    <row r="1440" s="46" customFormat="1" x14ac:dyDescent="0.2"/>
    <row r="1441" s="46" customFormat="1" x14ac:dyDescent="0.2"/>
    <row r="1442" s="46" customFormat="1" x14ac:dyDescent="0.2"/>
    <row r="1443" s="46" customFormat="1" x14ac:dyDescent="0.2"/>
    <row r="1444" s="46" customFormat="1" x14ac:dyDescent="0.2"/>
    <row r="1445" s="46" customFormat="1" x14ac:dyDescent="0.2"/>
    <row r="1446" s="46" customFormat="1" x14ac:dyDescent="0.2"/>
    <row r="1447" s="46" customFormat="1" x14ac:dyDescent="0.2"/>
    <row r="1448" s="46" customFormat="1" x14ac:dyDescent="0.2"/>
    <row r="1449" s="46" customFormat="1" x14ac:dyDescent="0.2"/>
    <row r="1450" s="46" customFormat="1" x14ac:dyDescent="0.2"/>
    <row r="1451" s="46" customFormat="1" x14ac:dyDescent="0.2"/>
    <row r="1452" s="46" customFormat="1" x14ac:dyDescent="0.2"/>
    <row r="1453" s="46" customFormat="1" x14ac:dyDescent="0.2"/>
    <row r="1454" s="46" customFormat="1" x14ac:dyDescent="0.2"/>
    <row r="1455" s="46" customFormat="1" x14ac:dyDescent="0.2"/>
    <row r="1456" s="46" customFormat="1" x14ac:dyDescent="0.2"/>
    <row r="1457" s="46" customFormat="1" x14ac:dyDescent="0.2"/>
    <row r="1458" s="46" customFormat="1" x14ac:dyDescent="0.2"/>
    <row r="1459" s="46" customFormat="1" x14ac:dyDescent="0.2"/>
    <row r="1460" s="46" customFormat="1" x14ac:dyDescent="0.2"/>
    <row r="1461" s="46" customFormat="1" x14ac:dyDescent="0.2"/>
    <row r="1462" s="46" customFormat="1" x14ac:dyDescent="0.2"/>
    <row r="1463" s="46" customFormat="1" x14ac:dyDescent="0.2"/>
    <row r="1464" s="46" customFormat="1" x14ac:dyDescent="0.2"/>
    <row r="1465" s="46" customFormat="1" x14ac:dyDescent="0.2"/>
    <row r="1466" s="46" customFormat="1" x14ac:dyDescent="0.2"/>
    <row r="1467" s="46" customFormat="1" x14ac:dyDescent="0.2"/>
    <row r="1468" s="46" customFormat="1" x14ac:dyDescent="0.2"/>
    <row r="1469" s="46" customFormat="1" x14ac:dyDescent="0.2"/>
    <row r="1470" s="46" customFormat="1" x14ac:dyDescent="0.2"/>
    <row r="1471" s="46" customFormat="1" x14ac:dyDescent="0.2"/>
    <row r="1472" s="46" customFormat="1" x14ac:dyDescent="0.2"/>
    <row r="1473" s="46" customFormat="1" x14ac:dyDescent="0.2"/>
    <row r="1474" s="46" customFormat="1" x14ac:dyDescent="0.2"/>
    <row r="1475" s="46" customFormat="1" x14ac:dyDescent="0.2"/>
    <row r="1476" s="46" customFormat="1" x14ac:dyDescent="0.2"/>
    <row r="1477" s="46" customFormat="1" x14ac:dyDescent="0.2"/>
    <row r="1478" s="46" customFormat="1" x14ac:dyDescent="0.2"/>
    <row r="1479" s="46" customFormat="1" x14ac:dyDescent="0.2"/>
    <row r="1480" s="46" customFormat="1" x14ac:dyDescent="0.2"/>
    <row r="1481" s="46" customFormat="1" x14ac:dyDescent="0.2"/>
    <row r="1482" s="46" customFormat="1" x14ac:dyDescent="0.2"/>
    <row r="1483" s="46" customFormat="1" x14ac:dyDescent="0.2"/>
    <row r="1484" s="46" customFormat="1" x14ac:dyDescent="0.2"/>
    <row r="1485" s="46" customFormat="1" x14ac:dyDescent="0.2"/>
    <row r="1486" s="46" customFormat="1" x14ac:dyDescent="0.2"/>
    <row r="1487" s="46" customFormat="1" x14ac:dyDescent="0.2"/>
    <row r="1488" s="46" customFormat="1" x14ac:dyDescent="0.2"/>
    <row r="1489" s="46" customFormat="1" x14ac:dyDescent="0.2"/>
    <row r="1490" s="46" customFormat="1" x14ac:dyDescent="0.2"/>
    <row r="1491" s="46" customFormat="1" x14ac:dyDescent="0.2"/>
    <row r="1492" s="46" customFormat="1" x14ac:dyDescent="0.2"/>
    <row r="1493" s="46" customFormat="1" x14ac:dyDescent="0.2"/>
    <row r="1494" s="46" customFormat="1" x14ac:dyDescent="0.2"/>
    <row r="1495" s="46" customFormat="1" x14ac:dyDescent="0.2"/>
    <row r="1496" s="46" customFormat="1" x14ac:dyDescent="0.2"/>
    <row r="1497" s="46" customFormat="1" x14ac:dyDescent="0.2"/>
    <row r="1498" s="46" customFormat="1" x14ac:dyDescent="0.2"/>
    <row r="1499" s="46" customFormat="1" x14ac:dyDescent="0.2"/>
    <row r="1500" s="46" customFormat="1" x14ac:dyDescent="0.2"/>
    <row r="1501" s="46" customFormat="1" x14ac:dyDescent="0.2"/>
    <row r="1502" s="46" customFormat="1" x14ac:dyDescent="0.2"/>
    <row r="1503" s="46" customFormat="1" x14ac:dyDescent="0.2"/>
    <row r="1504" s="46" customFormat="1" x14ac:dyDescent="0.2"/>
    <row r="1505" s="46" customFormat="1" x14ac:dyDescent="0.2"/>
    <row r="1506" s="46" customFormat="1" x14ac:dyDescent="0.2"/>
    <row r="1507" s="46" customFormat="1" x14ac:dyDescent="0.2"/>
    <row r="1508" s="46" customFormat="1" x14ac:dyDescent="0.2"/>
    <row r="1509" s="46" customFormat="1" x14ac:dyDescent="0.2"/>
    <row r="1510" s="46" customFormat="1" x14ac:dyDescent="0.2"/>
    <row r="1511" s="46" customFormat="1" x14ac:dyDescent="0.2"/>
    <row r="1512" s="46" customFormat="1" x14ac:dyDescent="0.2"/>
    <row r="1513" s="46" customFormat="1" x14ac:dyDescent="0.2"/>
    <row r="1514" s="46" customFormat="1" x14ac:dyDescent="0.2"/>
    <row r="1515" s="46" customFormat="1" x14ac:dyDescent="0.2"/>
    <row r="1516" s="46" customFormat="1" x14ac:dyDescent="0.2"/>
    <row r="1517" s="46" customFormat="1" x14ac:dyDescent="0.2"/>
    <row r="1518" s="46" customFormat="1" x14ac:dyDescent="0.2"/>
    <row r="1519" s="46" customFormat="1" x14ac:dyDescent="0.2"/>
    <row r="1520" s="46" customFormat="1" x14ac:dyDescent="0.2"/>
    <row r="1521" s="46" customFormat="1" x14ac:dyDescent="0.2"/>
    <row r="1522" s="46" customFormat="1" x14ac:dyDescent="0.2"/>
    <row r="1523" s="46" customFormat="1" x14ac:dyDescent="0.2"/>
    <row r="1524" s="46" customFormat="1" x14ac:dyDescent="0.2"/>
    <row r="1525" s="46" customFormat="1" x14ac:dyDescent="0.2"/>
    <row r="1526" s="46" customFormat="1" x14ac:dyDescent="0.2"/>
    <row r="1527" s="46" customFormat="1" x14ac:dyDescent="0.2"/>
    <row r="1528" s="46" customFormat="1" x14ac:dyDescent="0.2"/>
    <row r="1529" s="46" customFormat="1" x14ac:dyDescent="0.2"/>
    <row r="1530" s="46" customFormat="1" x14ac:dyDescent="0.2"/>
    <row r="1531" s="46" customFormat="1" x14ac:dyDescent="0.2"/>
    <row r="1532" s="46" customFormat="1" x14ac:dyDescent="0.2"/>
    <row r="1533" s="46" customFormat="1" x14ac:dyDescent="0.2"/>
    <row r="1534" s="46" customFormat="1" x14ac:dyDescent="0.2"/>
    <row r="1535" s="46" customFormat="1" x14ac:dyDescent="0.2"/>
    <row r="1536" s="46" customFormat="1" x14ac:dyDescent="0.2"/>
    <row r="1537" s="46" customFormat="1" x14ac:dyDescent="0.2"/>
    <row r="1538" s="46" customFormat="1" x14ac:dyDescent="0.2"/>
    <row r="1539" s="46" customFormat="1" x14ac:dyDescent="0.2"/>
    <row r="1540" s="46" customFormat="1" x14ac:dyDescent="0.2"/>
    <row r="1541" s="46" customFormat="1" x14ac:dyDescent="0.2"/>
    <row r="1542" s="46" customFormat="1" x14ac:dyDescent="0.2"/>
    <row r="1543" s="46" customFormat="1" x14ac:dyDescent="0.2"/>
    <row r="1544" s="46" customFormat="1" x14ac:dyDescent="0.2"/>
    <row r="1545" s="46" customFormat="1" x14ac:dyDescent="0.2"/>
    <row r="1546" s="46" customFormat="1" x14ac:dyDescent="0.2"/>
    <row r="1547" s="46" customFormat="1" x14ac:dyDescent="0.2"/>
    <row r="1548" s="46" customFormat="1" x14ac:dyDescent="0.2"/>
    <row r="1549" s="46" customFormat="1" x14ac:dyDescent="0.2"/>
    <row r="1550" s="46" customFormat="1" x14ac:dyDescent="0.2"/>
    <row r="1551" s="46" customFormat="1" x14ac:dyDescent="0.2"/>
    <row r="1552" s="46" customFormat="1" x14ac:dyDescent="0.2"/>
    <row r="1553" s="46" customFormat="1" x14ac:dyDescent="0.2"/>
    <row r="1554" s="46" customFormat="1" x14ac:dyDescent="0.2"/>
    <row r="1555" s="46" customFormat="1" x14ac:dyDescent="0.2"/>
    <row r="1556" s="46" customFormat="1" x14ac:dyDescent="0.2"/>
    <row r="1557" s="46" customFormat="1" x14ac:dyDescent="0.2"/>
    <row r="1558" s="46" customFormat="1" x14ac:dyDescent="0.2"/>
    <row r="1559" s="46" customFormat="1" x14ac:dyDescent="0.2"/>
    <row r="1560" s="46" customFormat="1" x14ac:dyDescent="0.2"/>
    <row r="1561" s="46" customFormat="1" x14ac:dyDescent="0.2"/>
    <row r="1562" s="46" customFormat="1" x14ac:dyDescent="0.2"/>
    <row r="1563" s="46" customFormat="1" x14ac:dyDescent="0.2"/>
    <row r="1564" s="46" customFormat="1" x14ac:dyDescent="0.2"/>
    <row r="1565" s="46" customFormat="1" x14ac:dyDescent="0.2"/>
    <row r="1566" s="46" customFormat="1" x14ac:dyDescent="0.2"/>
    <row r="1567" s="46" customFormat="1" x14ac:dyDescent="0.2"/>
    <row r="1568" s="46" customFormat="1" x14ac:dyDescent="0.2"/>
    <row r="1569" s="46" customFormat="1" x14ac:dyDescent="0.2"/>
    <row r="1570" s="46" customFormat="1" x14ac:dyDescent="0.2"/>
    <row r="1571" s="46" customFormat="1" x14ac:dyDescent="0.2"/>
    <row r="1572" s="46" customFormat="1" x14ac:dyDescent="0.2"/>
    <row r="1573" s="46" customFormat="1" x14ac:dyDescent="0.2"/>
    <row r="1574" s="46" customFormat="1" x14ac:dyDescent="0.2"/>
    <row r="1575" s="46" customFormat="1" x14ac:dyDescent="0.2"/>
    <row r="1576" s="46" customFormat="1" x14ac:dyDescent="0.2"/>
    <row r="1577" s="46" customFormat="1" x14ac:dyDescent="0.2"/>
    <row r="1578" s="46" customFormat="1" x14ac:dyDescent="0.2"/>
    <row r="1579" s="46" customFormat="1" x14ac:dyDescent="0.2"/>
    <row r="1580" s="46" customFormat="1" x14ac:dyDescent="0.2"/>
    <row r="1581" s="46" customFormat="1" x14ac:dyDescent="0.2"/>
    <row r="1582" s="46" customFormat="1" x14ac:dyDescent="0.2"/>
    <row r="1583" s="46" customFormat="1" x14ac:dyDescent="0.2"/>
    <row r="1584" s="46" customFormat="1" x14ac:dyDescent="0.2"/>
    <row r="1585" s="46" customFormat="1" x14ac:dyDescent="0.2"/>
    <row r="1586" s="46" customFormat="1" x14ac:dyDescent="0.2"/>
    <row r="1587" s="46" customFormat="1" x14ac:dyDescent="0.2"/>
    <row r="1588" s="46" customFormat="1" x14ac:dyDescent="0.2"/>
    <row r="1589" s="46" customFormat="1" x14ac:dyDescent="0.2"/>
    <row r="1590" s="46" customFormat="1" x14ac:dyDescent="0.2"/>
    <row r="1591" s="46" customFormat="1" x14ac:dyDescent="0.2"/>
    <row r="1592" s="46" customFormat="1" x14ac:dyDescent="0.2"/>
    <row r="1593" s="46" customFormat="1" x14ac:dyDescent="0.2"/>
    <row r="1594" s="46" customFormat="1" x14ac:dyDescent="0.2"/>
    <row r="1595" s="46" customFormat="1" x14ac:dyDescent="0.2"/>
    <row r="1596" s="46" customFormat="1" x14ac:dyDescent="0.2"/>
    <row r="1597" s="46" customFormat="1" x14ac:dyDescent="0.2"/>
    <row r="1598" s="46" customFormat="1" x14ac:dyDescent="0.2"/>
    <row r="1599" s="46" customFormat="1" x14ac:dyDescent="0.2"/>
    <row r="1600" s="46" customFormat="1" x14ac:dyDescent="0.2"/>
    <row r="1601" s="46" customFormat="1" x14ac:dyDescent="0.2"/>
    <row r="1602" s="46" customFormat="1" x14ac:dyDescent="0.2"/>
    <row r="1603" s="46" customFormat="1" x14ac:dyDescent="0.2"/>
    <row r="1604" s="46" customFormat="1" x14ac:dyDescent="0.2"/>
    <row r="1605" s="46" customFormat="1" x14ac:dyDescent="0.2"/>
    <row r="1606" s="46" customFormat="1" x14ac:dyDescent="0.2"/>
    <row r="1607" s="46" customFormat="1" x14ac:dyDescent="0.2"/>
    <row r="1608" s="46" customFormat="1" x14ac:dyDescent="0.2"/>
    <row r="1609" s="46" customFormat="1" x14ac:dyDescent="0.2"/>
    <row r="1610" s="46" customFormat="1" x14ac:dyDescent="0.2"/>
    <row r="1611" s="46" customFormat="1" x14ac:dyDescent="0.2"/>
    <row r="1612" s="46" customFormat="1" x14ac:dyDescent="0.2"/>
    <row r="1613" s="46" customFormat="1" x14ac:dyDescent="0.2"/>
    <row r="1614" s="46" customFormat="1" x14ac:dyDescent="0.2"/>
    <row r="1615" s="46" customFormat="1" x14ac:dyDescent="0.2"/>
    <row r="1616" s="46" customFormat="1" x14ac:dyDescent="0.2"/>
    <row r="1617" spans="8:11" s="46" customFormat="1" x14ac:dyDescent="0.2"/>
    <row r="1618" spans="8:11" s="46" customFormat="1" x14ac:dyDescent="0.2"/>
    <row r="1619" spans="8:11" s="46" customFormat="1" x14ac:dyDescent="0.2"/>
    <row r="1620" spans="8:11" s="46" customFormat="1" x14ac:dyDescent="0.2"/>
    <row r="1621" spans="8:11" s="46" customFormat="1" x14ac:dyDescent="0.2"/>
    <row r="1622" spans="8:11" s="46" customFormat="1" x14ac:dyDescent="0.2"/>
    <row r="1623" spans="8:11" s="46" customFormat="1" x14ac:dyDescent="0.2"/>
    <row r="1624" spans="8:11" x14ac:dyDescent="0.2">
      <c r="H1624" s="46"/>
      <c r="I1624" s="46"/>
      <c r="J1624" s="46"/>
      <c r="K1624" s="46"/>
    </row>
  </sheetData>
  <mergeCells count="10">
    <mergeCell ref="C24:H24"/>
    <mergeCell ref="C25:H25"/>
    <mergeCell ref="C23:H23"/>
    <mergeCell ref="B2:C2"/>
    <mergeCell ref="B22:N22"/>
    <mergeCell ref="C35:H35"/>
    <mergeCell ref="C32:H32"/>
    <mergeCell ref="C33:H33"/>
    <mergeCell ref="C29:H29"/>
    <mergeCell ref="C34:H34"/>
  </mergeCells>
  <phoneticPr fontId="1" type="noConversion"/>
  <pageMargins left="0.75" right="0.75" top="1" bottom="1" header="0.5" footer="0.5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50980-888C-47D1-9598-6351099F11EF}">
  <dimension ref="B5:D17"/>
  <sheetViews>
    <sheetView workbookViewId="0">
      <selection activeCell="C22" sqref="C22"/>
    </sheetView>
  </sheetViews>
  <sheetFormatPr defaultRowHeight="12.75" x14ac:dyDescent="0.2"/>
  <cols>
    <col min="2" max="2" width="42.5703125" customWidth="1"/>
    <col min="3" max="3" width="38.7109375" customWidth="1"/>
    <col min="4" max="4" width="18.7109375" style="398" customWidth="1"/>
  </cols>
  <sheetData>
    <row r="5" spans="2:4" x14ac:dyDescent="0.2">
      <c r="D5" s="399" t="s">
        <v>673</v>
      </c>
    </row>
    <row r="6" spans="2:4" x14ac:dyDescent="0.2">
      <c r="B6" s="400" t="s">
        <v>672</v>
      </c>
      <c r="C6" s="400"/>
      <c r="D6" s="401">
        <v>4228860</v>
      </c>
    </row>
    <row r="8" spans="2:4" x14ac:dyDescent="0.2">
      <c r="B8" s="400" t="s">
        <v>682</v>
      </c>
      <c r="C8" s="400"/>
      <c r="D8" s="401">
        <f>D9</f>
        <v>5841603</v>
      </c>
    </row>
    <row r="9" spans="2:4" ht="25.5" x14ac:dyDescent="0.2">
      <c r="B9" s="403" t="s">
        <v>683</v>
      </c>
      <c r="C9" s="403"/>
      <c r="D9" s="404">
        <v>5841603</v>
      </c>
    </row>
    <row r="11" spans="2:4" x14ac:dyDescent="0.2">
      <c r="B11" s="400" t="s">
        <v>674</v>
      </c>
      <c r="C11" s="400"/>
      <c r="D11" s="401">
        <f>SUM(D12:D15)</f>
        <v>4624253</v>
      </c>
    </row>
    <row r="12" spans="2:4" x14ac:dyDescent="0.2">
      <c r="B12" s="396" t="s">
        <v>675</v>
      </c>
      <c r="C12" s="1" t="s">
        <v>676</v>
      </c>
      <c r="D12" s="402">
        <v>2824800</v>
      </c>
    </row>
    <row r="13" spans="2:4" x14ac:dyDescent="0.2">
      <c r="B13" s="396" t="s">
        <v>675</v>
      </c>
      <c r="C13" s="1" t="s">
        <v>677</v>
      </c>
      <c r="D13" s="402">
        <v>381000</v>
      </c>
    </row>
    <row r="14" spans="2:4" ht="25.5" x14ac:dyDescent="0.2">
      <c r="B14" s="397" t="s">
        <v>679</v>
      </c>
      <c r="C14" s="405" t="s">
        <v>678</v>
      </c>
      <c r="D14" s="406">
        <v>127189</v>
      </c>
    </row>
    <row r="15" spans="2:4" x14ac:dyDescent="0.2">
      <c r="B15" s="396" t="s">
        <v>680</v>
      </c>
      <c r="C15" s="1" t="s">
        <v>684</v>
      </c>
      <c r="D15" s="402">
        <v>1291264</v>
      </c>
    </row>
    <row r="17" spans="2:4" x14ac:dyDescent="0.2">
      <c r="B17" s="400" t="s">
        <v>681</v>
      </c>
      <c r="C17" s="400"/>
      <c r="D17" s="401">
        <f>D6-D11+D8</f>
        <v>5446210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Príjmy</vt:lpstr>
      <vt:lpstr>Výdavky</vt:lpstr>
      <vt:lpstr>Sumarizácia</vt:lpstr>
      <vt:lpstr>Rezervný fond</vt:lpstr>
      <vt:lpstr>Príjmy!Oblasť_tlače</vt:lpstr>
      <vt:lpstr>Sumarizácia!Oblasť_tlače</vt:lpstr>
      <vt:lpstr>Výdavky!Oblasť_tlače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Prnová Žilková Andrea, Ing.</cp:lastModifiedBy>
  <cp:lastPrinted>2024-05-13T08:47:12Z</cp:lastPrinted>
  <dcterms:created xsi:type="dcterms:W3CDTF">2014-05-27T11:25:41Z</dcterms:created>
  <dcterms:modified xsi:type="dcterms:W3CDTF">2024-05-13T08:47:15Z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